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75" windowWidth="15360" windowHeight="8310" tabRatio="783" firstSheet="1" activeTab="2"/>
  </bookViews>
  <sheets>
    <sheet name="tiedot" sheetId="1" state="hidden" r:id="rId1"/>
    <sheet name="1.Täyttöohjeet" sheetId="2" r:id="rId2"/>
    <sheet name="2.Yhteenveto" sheetId="3" r:id="rId3"/>
    <sheet name="3.Ikärakenne" sheetId="4" r:id="rId4"/>
    <sheet name="4.Muut lask. kustannukset" sheetId="5" r:id="rId5"/>
    <sheet name="5.Lisäosat" sheetId="6" r:id="rId6"/>
    <sheet name="6.Vähennykset ja lisäykset" sheetId="7" r:id="rId7"/>
    <sheet name="7.Järjestelmämuutos 2015" sheetId="8" state="hidden" r:id="rId8"/>
    <sheet name="8.Kotikuntakorvaukset" sheetId="9" state="hidden" r:id="rId9"/>
    <sheet name="Tulopohjan tasaus" sheetId="10" r:id="rId10"/>
    <sheet name="9.Opetus ja kulttuuri, muu vos" sheetId="11" state="hidden" r:id="rId11"/>
    <sheet name="10.Lukio" sheetId="12" state="hidden" r:id="rId12"/>
  </sheets>
  <definedNames>
    <definedName name="_xlfn.SUMIFS" hidden="1">#NAME?</definedName>
    <definedName name="ikar_1">'tiedot'!$Q$2:$Q$296</definedName>
    <definedName name="ikar_11">'tiedot'!$Z$2:$Z$296</definedName>
    <definedName name="ikar_12">'tiedot'!$AA$2:$AA$296</definedName>
    <definedName name="ikar_13">'tiedot'!$AB$2:$AB$296</definedName>
    <definedName name="ikar_14">'tiedot'!$AC$2:$AC$296</definedName>
    <definedName name="ikar_16">'tiedot'!$AD$2:$AD$296</definedName>
    <definedName name="ikar_2">'tiedot'!$R$2:$R$296</definedName>
    <definedName name="ikar_3">'tiedot'!$S$2:$S$296</definedName>
    <definedName name="ikar_4">'tiedot'!$T$2:$T$296</definedName>
    <definedName name="ikar_5">'tiedot'!$U$2:$U$296</definedName>
    <definedName name="ikar_6">'tiedot'!$V$2:$V$296</definedName>
    <definedName name="ikar_7">'tiedot'!$W$2:$W$296</definedName>
    <definedName name="ikar_8">'tiedot'!$X$2:$X$296</definedName>
    <definedName name="ikar_9">'tiedot'!$Y$2:$Y$296</definedName>
    <definedName name="jm_1">'tiedot'!$CI$2:$CI$296</definedName>
    <definedName name="kkk_1">'tiedot'!$CN$2:$CN$296</definedName>
    <definedName name="kkk_2">'tiedot'!$CL$2:$CL$296</definedName>
    <definedName name="kkk_3">'tiedot'!$CM$2:$CM$296</definedName>
    <definedName name="kunta">'tiedot'!$B$2:$B$296</definedName>
    <definedName name="lo_1">'tiedot'!$BB$2:$BB$296</definedName>
    <definedName name="lo_2">'tiedot'!$BC$2:$BC$296</definedName>
    <definedName name="lo_3">'tiedot'!$BD$2:$BD$296</definedName>
    <definedName name="lo_4">'tiedot'!$BE$2:$BE$296</definedName>
    <definedName name="lo_5">'tiedot'!$BF$2:$BF$296</definedName>
    <definedName name="lo_6">'tiedot'!$BG$2:$BG$296</definedName>
    <definedName name="lo_7">'tiedot'!$BH$2:$BH$296</definedName>
    <definedName name="muutla_1">'tiedot'!$AJ$2:$AJ$296</definedName>
    <definedName name="muutla_10">'tiedot'!$AS$2:$AS$296</definedName>
    <definedName name="muutla_11">'tiedot'!$AU$2:$AU$296</definedName>
    <definedName name="muutla_12">'tiedot'!$AV$2:$AV$296</definedName>
    <definedName name="muutla_13">'tiedot'!$AW$2:$AW$296</definedName>
    <definedName name="muutla_14">'tiedot'!$AX$2:$AX$296</definedName>
    <definedName name="muutla_15">'tiedot'!$AY$2:$AY$296</definedName>
    <definedName name="muutla_16">'tiedot'!$AZ$2:$AZ$296</definedName>
    <definedName name="muutla_17">'tiedot'!$BA$2:$BA$296</definedName>
    <definedName name="muutla_18">'tiedot'!$AT$2:$AT$296</definedName>
    <definedName name="muutla_2">'tiedot'!$AK$2:$AK$296</definedName>
    <definedName name="muutla_3">'tiedot'!$AL$2:$AL$296</definedName>
    <definedName name="muutla_4">'tiedot'!$AM$2:$AM$296</definedName>
    <definedName name="muutla_5">'tiedot'!$AN$2:$AN$296</definedName>
    <definedName name="muutla_6">'tiedot'!$AO$2:$AO$296</definedName>
    <definedName name="muutla_7">'tiedot'!$AP$2:$AP$296</definedName>
    <definedName name="muutla_8">'tiedot'!$AQ$2:$AQ$296</definedName>
    <definedName name="muutla_9">'tiedot'!$AR$2:$AR$296</definedName>
    <definedName name="numero">'tiedot'!$A$2:$A$296</definedName>
    <definedName name="okm">'tiedot'!$CK$2:$CK$296</definedName>
    <definedName name="sair_0">'tiedot'!$AE$2:$AE$296</definedName>
    <definedName name="sair_1">'tiedot'!$AF$2:$AF$296</definedName>
    <definedName name="sair_2">'tiedot'!$AG$2:$AG$296</definedName>
    <definedName name="sair_3">'tiedot'!$AH$2:$AH$296</definedName>
    <definedName name="sair_4">'tiedot'!$AI$2:$AI$296</definedName>
    <definedName name="tasa_1">'tiedot'!$CJ$2:$CJ$296</definedName>
    <definedName name="_xlnm.Print_Area" localSheetId="1">'1.Täyttöohjeet'!$A$1:$M$105</definedName>
    <definedName name="_xlnm.Print_Area" localSheetId="2">'2.Yhteenveto'!$A$11:$M$63</definedName>
    <definedName name="_xlnm.Print_Area" localSheetId="8">'8.Kotikuntakorvaukset'!$E$10:$K$51</definedName>
    <definedName name="_xlnm.Print_Area" localSheetId="10">'9.Opetus ja kulttuuri, muu vos'!$A$1:$K$104</definedName>
    <definedName name="vl_1">'tiedot'!$BI$2:$BI$296</definedName>
    <definedName name="vl_10">'tiedot'!$BT$2:$BT$296</definedName>
    <definedName name="vl_11">'tiedot'!$BU$2:$BU$296</definedName>
    <definedName name="vl_12">'tiedot'!$BV$2:$BV$296</definedName>
    <definedName name="vl_13">'tiedot'!$BW$2:$BW$296</definedName>
    <definedName name="vl_14">'tiedot'!$BX$2:$BX$296</definedName>
    <definedName name="vl_15">'tiedot'!$CC$2:$CC$296</definedName>
    <definedName name="vl_16">'tiedot'!$CD$2:$CD$296</definedName>
    <definedName name="vl_17">'tiedot'!$CE$2:$CE$296</definedName>
    <definedName name="vl_18">'tiedot'!$CF$2:$CF$296</definedName>
    <definedName name="vl_19">'tiedot'!$BY$2:$BY$296</definedName>
    <definedName name="vl_2">'tiedot'!$BJ$2:$BJ$296</definedName>
    <definedName name="vl_20">'tiedot'!$BP$2:$BP$296</definedName>
    <definedName name="vl_21">'tiedot'!$BQ$2:$BQ$296</definedName>
    <definedName name="vl_22">'tiedot'!$BZ$2:$BZ$296</definedName>
    <definedName name="vl_23">'tiedot'!$CA$2:$CA$297</definedName>
    <definedName name="vl_24">'tiedot'!$CB$2:$CB$296</definedName>
    <definedName name="vl_25">'tiedot'!$CG$2:$CG$296</definedName>
    <definedName name="vl_26">'tiedot'!$CH$2:$CH$296</definedName>
    <definedName name="vl_3">'tiedot'!$BK$2:$BK$296</definedName>
    <definedName name="vl_4">'tiedot'!$BL$2:$BL$296</definedName>
    <definedName name="vl_5">'tiedot'!$BM$2:$BM$296</definedName>
    <definedName name="vl_6">'tiedot'!$BN$2:$BN$296</definedName>
    <definedName name="vl_7">'tiedot'!$BO$2:$BO$296</definedName>
    <definedName name="vl_8">'tiedot'!$BR$2:$BR$296</definedName>
    <definedName name="vl_9">'tiedot'!$BS$2:$BS$296</definedName>
    <definedName name="vos_maks">'tiedot'!$CO$2:$CO$296</definedName>
    <definedName name="vos_maksatus">'tiedot'!$CP$2:$CP$296</definedName>
    <definedName name="vosC">'tiedot'!$C$2:$C$296</definedName>
    <definedName name="vosD">'tiedot'!$D$2:$D$296</definedName>
    <definedName name="vosE">'tiedot'!$E$2:$E$296</definedName>
    <definedName name="vosF">'tiedot'!$F$2:$F$296</definedName>
    <definedName name="vosG">'tiedot'!$G$2:$G$296</definedName>
    <definedName name="vosH">'tiedot'!$H$2:$H$296</definedName>
    <definedName name="vosI">'tiedot'!$I$2:$I$296</definedName>
    <definedName name="vosJ">'tiedot'!$J$2:$J$296</definedName>
    <definedName name="vosK">'tiedot'!$K$2:$K$296</definedName>
    <definedName name="vosL">'tiedot'!$L$2:$L$296</definedName>
    <definedName name="vosM">'tiedot'!$M$2:$M$296</definedName>
    <definedName name="vosN">'tiedot'!$N$2:$N$296</definedName>
    <definedName name="vosO">'tiedot'!$O$2:$O$296</definedName>
    <definedName name="vosP">'tiedot'!$P$2:$P$296</definedName>
  </definedNames>
  <calcPr fullCalcOnLoad="1"/>
</workbook>
</file>

<file path=xl/comments11.xml><?xml version="1.0" encoding="utf-8"?>
<comments xmlns="http://schemas.openxmlformats.org/spreadsheetml/2006/main">
  <authors>
    <author>Lehtonen Sanna</author>
  </authors>
  <commentLis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90"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<sst xmlns="http://schemas.openxmlformats.org/spreadsheetml/2006/main" count="2125" uniqueCount="1178">
  <si>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</si>
  <si>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</si>
  <si>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</si>
  <si>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</si>
  <si>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</si>
  <si>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</si>
  <si>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</si>
  <si>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</si>
  <si>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</si>
  <si>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</si>
  <si>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</si>
  <si>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</si>
  <si>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</si>
  <si>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</si>
  <si>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</si>
  <si>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</si>
  <si>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</si>
  <si>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</si>
  <si>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</si>
  <si>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</si>
  <si>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</si>
  <si>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</si>
  <si>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</si>
  <si>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</si>
  <si>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</si>
  <si>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</si>
  <si>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</si>
  <si>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</si>
  <si>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</si>
  <si>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</si>
  <si>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</si>
  <si>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</si>
  <si>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</si>
  <si>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</si>
  <si>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</si>
  <si>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</si>
  <si>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</si>
  <si>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</si>
  <si>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</si>
  <si>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</si>
  <si>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</si>
  <si>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</si>
  <si>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</si>
  <si>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</si>
  <si>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</si>
  <si>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</si>
  <si>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</si>
  <si>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</si>
  <si>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</si>
  <si>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</si>
  <si>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</si>
  <si>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</si>
  <si>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</si>
  <si>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</si>
  <si>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</si>
  <si>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</si>
  <si>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</si>
  <si>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</si>
  <si>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</si>
  <si>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</si>
  <si>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</si>
  <si>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</si>
  <si>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</si>
  <si>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</si>
  <si>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</si>
  <si>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</si>
  <si>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</si>
  <si>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</si>
  <si>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</si>
  <si>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</si>
  <si>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</si>
  <si>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</si>
  <si>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</si>
  <si>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</si>
  <si>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</si>
  <si>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</si>
  <si>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</si>
  <si>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</si>
  <si>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</si>
  <si>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</si>
  <si>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</si>
  <si>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</si>
  <si>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</si>
  <si>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</si>
  <si>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</si>
  <si>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</si>
  <si>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</si>
  <si>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</si>
  <si>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</si>
  <si>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</si>
  <si>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</si>
  <si>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</si>
  <si>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</si>
  <si>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</si>
  <si>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</si>
  <si>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</si>
  <si>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</si>
  <si>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</si>
  <si>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</si>
  <si>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</si>
  <si>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</si>
  <si>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</si>
  <si>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</si>
  <si>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</si>
  <si>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</si>
  <si>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</si>
  <si>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</si>
  <si>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</si>
  <si>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</si>
  <si>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</si>
  <si>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</si>
  <si>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</si>
  <si>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</si>
  <si>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</si>
  <si>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</si>
  <si>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</si>
  <si>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</si>
  <si>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</si>
  <si>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</si>
  <si>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</si>
  <si>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</si>
  <si>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</si>
  <si>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</si>
  <si>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</si>
  <si>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</si>
  <si>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</si>
  <si>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</si>
  <si>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</si>
  <si>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</si>
  <si>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</si>
  <si>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</si>
  <si>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</si>
  <si>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</si>
  <si>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</si>
  <si>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</si>
  <si>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</si>
  <si>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</si>
  <si>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</si>
  <si>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</si>
  <si>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</si>
  <si>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</si>
  <si>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</si>
  <si>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</si>
  <si>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</si>
  <si>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</si>
  <si>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</si>
  <si>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</si>
  <si>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</si>
  <si>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</si>
  <si>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</si>
  <si>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</si>
  <si>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</si>
  <si>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</si>
  <si>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</si>
  <si>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</si>
  <si>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</si>
  <si>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</si>
  <si>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</si>
  <si>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</si>
  <si>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</si>
  <si>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</si>
  <si>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</si>
  <si>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</si>
  <si>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</si>
  <si>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</si>
  <si>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</si>
  <si>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</si>
  <si>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</si>
  <si>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</si>
  <si>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</si>
  <si>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</si>
  <si>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</si>
  <si>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</si>
  <si>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</si>
  <si>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</si>
  <si>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</si>
  <si>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</si>
  <si>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</si>
  <si>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</si>
  <si>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</si>
  <si>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</si>
  <si>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</si>
  <si>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</si>
  <si>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</si>
  <si>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</si>
  <si>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</si>
  <si>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</si>
  <si>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</si>
  <si>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</si>
  <si>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</si>
  <si>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</si>
  <si>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</si>
  <si>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</si>
  <si>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</si>
  <si>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</si>
  <si>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</si>
  <si>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</si>
  <si>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</si>
  <si>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</si>
  <si>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</si>
  <si>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</si>
  <si>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</si>
  <si>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</si>
  <si>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</si>
  <si>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</si>
  <si>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</si>
  <si>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</si>
  <si>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</si>
  <si>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</si>
  <si>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</si>
  <si>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</si>
  <si>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</si>
  <si>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</si>
  <si>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</si>
  <si>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</si>
  <si>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</si>
  <si>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</si>
  <si>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</si>
  <si>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</si>
  <si>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</si>
  <si>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</si>
  <si>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</si>
  <si>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</si>
  <si>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</si>
  <si>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</si>
  <si>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</si>
  <si>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</si>
  <si>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</si>
  <si>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</si>
  <si>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</si>
  <si>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</si>
  <si>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</si>
  <si>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</si>
  <si>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</si>
  <si>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</si>
  <si>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</si>
  <si>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</si>
  <si>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</si>
  <si>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</si>
  <si>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</si>
  <si>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</si>
  <si>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</si>
  <si>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</si>
  <si>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</si>
  <si>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</si>
  <si>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</si>
  <si>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</si>
  <si>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</si>
  <si>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</si>
  <si>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</si>
  <si>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</si>
  <si>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</si>
  <si>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</si>
  <si>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</si>
  <si>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</si>
  <si>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</si>
  <si>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</si>
  <si>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</si>
  <si>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</si>
  <si>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</si>
  <si>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</si>
  <si>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</si>
  <si>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</si>
  <si>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</si>
  <si>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</si>
  <si>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</si>
  <si>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</si>
  <si>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</si>
  <si>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</si>
  <si>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</si>
  <si>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</si>
  <si>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</si>
  <si>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</si>
  <si>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</si>
  <si>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</si>
  <si>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</si>
  <si>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</si>
  <si>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</si>
  <si>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</si>
  <si>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</si>
  <si>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</si>
  <si>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</si>
  <si>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</si>
  <si>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</si>
  <si>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</si>
  <si>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</si>
  <si>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</si>
  <si>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</si>
  <si>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</si>
  <si>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</si>
  <si>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</si>
  <si>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</si>
  <si>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</si>
  <si>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</si>
  <si>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</si>
  <si>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</si>
  <si>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</si>
  <si>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</si>
  <si>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</si>
  <si>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</si>
  <si>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</si>
  <si>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</si>
  <si>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</si>
  <si>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</si>
  <si>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</si>
  <si>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</si>
  <si>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</si>
  <si>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</si>
  <si>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</si>
  <si>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</si>
  <si>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</si>
  <si>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</si>
  <si>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</si>
  <si>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</si>
  <si>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</si>
  <si>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</si>
  <si>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</si>
  <si>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</si>
  <si>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</si>
  <si>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</si>
  <si>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</si>
  <si>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</si>
  <si>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</si>
  <si>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</si>
  <si>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</si>
  <si>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</si>
  <si>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</si>
  <si>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</si>
  <si>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</si>
  <si>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</si>
  <si>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</si>
  <si>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</si>
  <si>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</si>
  <si>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</si>
  <si>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</si>
  <si>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</si>
  <si>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</si>
  <si>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</si>
  <si>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</si>
  <si>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</si>
  <si>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</si>
  <si>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</si>
  <si>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</si>
  <si>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</si>
  <si>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</si>
  <si>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</si>
  <si>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</si>
  <si>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</si>
  <si>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</si>
  <si>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</si>
  <si>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</si>
  <si>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</si>
  <si>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</si>
  <si>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</si>
  <si>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</si>
  <si>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</si>
  <si>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</si>
  <si>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</si>
  <si>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</si>
  <si>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</si>
  <si>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</si>
  <si>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</si>
  <si>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</si>
  <si>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</si>
  <si>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</si>
  <si>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</si>
  <si>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65-74-vuotiaat</t>
  </si>
  <si>
    <t>75-84-vuotiaat</t>
  </si>
  <si>
    <t>yli 84-vuotiaat</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</si>
  <si>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</si>
  <si>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</si>
  <si>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</si>
  <si>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</si>
  <si>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</si>
  <si>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</si>
  <si>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</si>
  <si>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</si>
  <si>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</si>
  <si>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</si>
  <si>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</si>
  <si>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</si>
  <si>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</si>
  <si>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</si>
  <si>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</si>
  <si>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</si>
  <si>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</si>
  <si>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1</t>
  </si>
  <si>
    <t>Sivu 2</t>
  </si>
  <si>
    <t>LUKION YKSIKKÖHINTA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</si>
  <si>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</si>
  <si>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</si>
  <si>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</si>
  <si>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</si>
  <si>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</si>
  <si>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</si>
  <si>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</si>
  <si>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</si>
  <si>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</si>
  <si>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</si>
  <si>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</si>
  <si>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</si>
  <si>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</si>
  <si>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</si>
  <si>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</si>
  <si>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</si>
  <si>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</si>
  <si>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</si>
  <si>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</si>
  <si>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</si>
  <si>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</si>
  <si>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</si>
  <si>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</si>
  <si>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</si>
  <si>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</si>
  <si>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</si>
  <si>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</si>
  <si>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</si>
  <si>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</si>
  <si>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</si>
  <si>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</si>
  <si>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</si>
  <si>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</si>
  <si>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</si>
  <si>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</si>
  <si>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</si>
  <si>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</si>
  <si>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</si>
  <si>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</si>
  <si>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</si>
  <si>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</si>
  <si>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</si>
  <si>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</si>
  <si>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</si>
  <si>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</si>
  <si>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</si>
  <si>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</si>
  <si>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</si>
  <si>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</si>
  <si>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</si>
  <si>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</si>
  <si>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</si>
  <si>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</si>
  <si>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</si>
  <si>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</si>
  <si>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</si>
  <si>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</si>
  <si>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</si>
  <si>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</si>
  <si>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</si>
  <si>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</si>
  <si>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</si>
  <si>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</si>
  <si>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</si>
  <si>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</si>
  <si>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</si>
  <si>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</si>
  <si>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</si>
  <si>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</si>
  <si>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</si>
  <si>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</si>
  <si>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</si>
  <si>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</si>
  <si>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</si>
  <si>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</si>
  <si>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</si>
  <si>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</si>
  <si>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</si>
  <si>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</si>
  <si>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</si>
  <si>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</si>
  <si>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</si>
  <si>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</si>
  <si>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</si>
  <si>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</si>
  <si>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</si>
  <si>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</si>
  <si>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</si>
  <si>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</si>
  <si>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</si>
  <si>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</si>
  <si>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</si>
  <si>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</si>
  <si>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</si>
  <si>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</si>
  <si>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</si>
  <si>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</si>
  <si>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</si>
  <si>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</si>
  <si>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</si>
  <si>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</si>
  <si>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</si>
  <si>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</si>
  <si>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</si>
  <si>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</si>
  <si>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</si>
  <si>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</si>
  <si>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</si>
  <si>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</si>
  <si>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</si>
  <si>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</si>
  <si>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</si>
  <si>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</si>
  <si>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</si>
  <si>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</si>
  <si>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</si>
  <si>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</si>
  <si>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</si>
  <si>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</si>
  <si>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</si>
  <si>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</si>
  <si>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</si>
  <si>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</si>
  <si>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</si>
  <si>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</si>
  <si>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</si>
  <si>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</si>
  <si>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</si>
  <si>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</si>
  <si>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</si>
  <si>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</si>
  <si>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</si>
  <si>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</si>
  <si>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</si>
  <si>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</si>
  <si>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</si>
  <si>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</si>
  <si>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</si>
  <si>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</si>
  <si>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</si>
  <si>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</si>
  <si>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</si>
  <si>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</si>
  <si>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</si>
  <si>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</si>
  <si>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</si>
  <si>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</si>
  <si>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</si>
  <si>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</si>
  <si>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</si>
  <si>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</si>
  <si>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</si>
  <si>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 syrjäisyysluku 1,5 as/km2 tai enemmän</t>
  </si>
  <si>
    <t xml:space="preserve"> - syrjäisyysluku 1 - 1,5 as/km2 </t>
  </si>
  <si>
    <t xml:space="preserve"> - syrjäisyysluku alle 1 as/km2 </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</si>
  <si>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</si>
  <si>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</si>
  <si>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</si>
  <si>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</si>
  <si>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</si>
  <si>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</si>
  <si>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</si>
  <si>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</si>
  <si>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</si>
  <si>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Järjestelmämuutoksen tasaus</t>
  </si>
  <si>
    <t>Kotikuntakorvausjärjestelmän muutos;</t>
  </si>
  <si>
    <t>siirtymäajan rahoitus</t>
  </si>
  <si>
    <t>Veromenetyksen kompensaatio vuodelta 2014</t>
  </si>
  <si>
    <t>Veroperustemuutosten vaikutus vuodelta 2015</t>
  </si>
  <si>
    <t>Vuoden 2010 järjestelmämuutoksen tasaus</t>
  </si>
  <si>
    <t>Järjestelmämuutoksen tasaus yhteensä</t>
  </si>
  <si>
    <t>okm</t>
  </si>
  <si>
    <t>sair_2</t>
  </si>
  <si>
    <t>sair_3</t>
  </si>
  <si>
    <t>sair_4</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</si>
  <si>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</si>
  <si>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</si>
  <si>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</si>
  <si>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</si>
  <si>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</si>
  <si>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</si>
  <si>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</si>
  <si>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</si>
  <si>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</si>
  <si>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</si>
  <si>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</si>
  <si>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</si>
  <si>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</si>
  <si>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</si>
  <si>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</si>
  <si>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</si>
  <si>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Saaristo-osakunnat</t>
  </si>
  <si>
    <t>Saaristo-osakuntakorotus yhteensä</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</si>
  <si>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</si>
  <si>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</si>
  <si>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</si>
  <si>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</si>
  <si>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</si>
  <si>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</si>
  <si>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</si>
  <si>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</si>
  <si>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</si>
  <si>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Kilpailukykysopimuksen vaikutus valtionosuuteen</t>
  </si>
  <si>
    <t>vl_21</t>
  </si>
  <si>
    <t>Eläketukivähennys, "Lex Lindström"</t>
  </si>
  <si>
    <t>vl_22</t>
  </si>
  <si>
    <t xml:space="preserve">  5-vuotiaiden esiopetus</t>
  </si>
  <si>
    <t>kuntanro</t>
  </si>
  <si>
    <t>kuntanimi</t>
  </si>
  <si>
    <t>asm_311213</t>
  </si>
  <si>
    <t>13-16-vuotiaat</t>
  </si>
  <si>
    <t>vos_kirjanpito</t>
  </si>
  <si>
    <t>Aloittavien koulujen rahoituksen vähentäminen</t>
  </si>
  <si>
    <t xml:space="preserve">Veroperustemuutosten vaikutus vuodelta 2017 </t>
  </si>
  <si>
    <t>Veroperustemuutosten vaikutus vuodelta 2018</t>
  </si>
  <si>
    <t>peruste vuonna 2018</t>
  </si>
  <si>
    <t>Vuosi 2018</t>
  </si>
  <si>
    <t>Sairastavuuden perushinta</t>
  </si>
  <si>
    <t>Todennetun osaamisen rekisteri</t>
  </si>
  <si>
    <t>Indeksikorotusten jäädytys 2018</t>
  </si>
  <si>
    <t>Tasauksen neutralisointi</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</si>
  <si>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</si>
  <si>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</si>
  <si>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</si>
  <si>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</si>
  <si>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</si>
  <si>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</si>
  <si>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</si>
  <si>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kurssimäärä</t>
  </si>
  <si>
    <t xml:space="preserve">  Aineopetus</t>
  </si>
  <si>
    <r>
      <t>1)</t>
    </r>
    <r>
      <rPr>
        <i/>
        <sz val="8"/>
        <rFont val="Arial"/>
        <family val="2"/>
      </rPr>
      <t xml:space="preserve"> Laskennallisten opiskelijoiden määrä = oppiaineiden lukumäärä jaettuna 15:llä.</t>
    </r>
  </si>
  <si>
    <t>läsnäolokuukausia</t>
  </si>
  <si>
    <t>€/ohjaustunti</t>
  </si>
  <si>
    <t>Kansanopistot</t>
  </si>
  <si>
    <t>€/opetustunti</t>
  </si>
  <si>
    <t>€/opiskelijaviikko</t>
  </si>
  <si>
    <t>Opintokeskukset</t>
  </si>
  <si>
    <t>Kesäyliopisto</t>
  </si>
  <si>
    <t>Liikunnan koulutuskeskukset</t>
  </si>
  <si>
    <t>€/opisk.vrk.</t>
  </si>
  <si>
    <t>(yksikköhinnan pohja-arvo)</t>
  </si>
  <si>
    <t>Taiteen perusopetus</t>
  </si>
  <si>
    <t>(Musiikkioppilaitos)</t>
  </si>
  <si>
    <t>Indeksikorotusten jäädytys 2016</t>
  </si>
  <si>
    <t>Vuoden 2018 rahoitus : http://www02.oph.fi/asiakkaat/rahoitus/paatos18.html</t>
  </si>
  <si>
    <t>Yksikköhinnat: https://vos.oph.fi/rap/vos/v18/v05yk6y18.pdf</t>
  </si>
  <si>
    <t>18.6.2018, Kuntaliitto / SL</t>
  </si>
  <si>
    <t>2. Opetus- ja kulttuuritoimen valtionosuudet 2018</t>
  </si>
  <si>
    <t>Kunnan valtionosuusrahoitus 2019</t>
  </si>
  <si>
    <t>Veroperustemuutosten vaikutus vuodelta 2019</t>
  </si>
  <si>
    <t xml:space="preserve">Kuntien digitalisaatiokannustimen rahoitus </t>
  </si>
  <si>
    <t>Harkinnanvaraisen valtionosuuden korotuksen rahoitus</t>
  </si>
  <si>
    <t>Indeksikorotusten jäädytys 2017</t>
  </si>
  <si>
    <t>Indeksikorotusten jäädytys 2019</t>
  </si>
  <si>
    <t>Laskennalliset kustannukset yhteensä</t>
  </si>
  <si>
    <t xml:space="preserve">Valtion osuus laskennallisesta kustannuksesta </t>
  </si>
  <si>
    <t>KUNNAN VALTIONOSUUSRAHOITUS 2018</t>
  </si>
  <si>
    <t>Asukasluku 31.12.2016:</t>
  </si>
  <si>
    <r>
      <rPr>
        <b/>
        <i/>
        <sz val="10"/>
        <rFont val="Arial"/>
        <family val="2"/>
      </rPr>
      <t>Lisätiedot</t>
    </r>
    <r>
      <rPr>
        <i/>
        <sz val="10"/>
        <rFont val="Arial"/>
        <family val="2"/>
      </rPr>
      <t>: Suomen Kuntaliitto / Sanna Lehtonen, p. 050-5759090</t>
    </r>
  </si>
  <si>
    <t>Kunnan laskennalliset kustannukset yhteensä</t>
  </si>
  <si>
    <t>Kunnan omarahoitusosuus laskennallisesta kustannuksesta</t>
  </si>
  <si>
    <t>valtionosuusprosentti</t>
  </si>
  <si>
    <t>Kunnan peruspalvelujen</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</si>
  <si>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</si>
  <si>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</si>
  <si>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</si>
  <si>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</si>
  <si>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</si>
  <si>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</si>
  <si>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Esi- ja perusopetuksen kotikuntakorvaukset</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</si>
  <si>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</si>
  <si>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</si>
  <si>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</si>
  <si>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</si>
  <si>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Toteutettiin vos-% kautta, yht. -75 milj. € (-13,68 €/as)</t>
  </si>
  <si>
    <t>vl_24</t>
  </si>
  <si>
    <t>Vuoden 2015 valtionosuusjärjestelmämuutoksen tasaus vuonna 2019</t>
  </si>
  <si>
    <t>Vuoden 2019 valtionosuudessa huomioon otettava osuus muutoksesta, yhteensä euroa</t>
  </si>
  <si>
    <t>Kotikuntakorvaukset vuonna 2019</t>
  </si>
  <si>
    <t>Kotikuntakorvausnetto 2019</t>
  </si>
  <si>
    <t>- kunnan omarahoitusosuus lukiokoulutukseen</t>
  </si>
  <si>
    <t>- kunnan omarahoitusosuus ammatilliseen koulutukseen</t>
  </si>
  <si>
    <t>kkk_2</t>
  </si>
  <si>
    <t>kkk_3</t>
  </si>
  <si>
    <t>vos_maksatus</t>
  </si>
  <si>
    <r>
      <t xml:space="preserve">Valtionosuusmaksatus </t>
    </r>
    <r>
      <rPr>
        <sz val="8"/>
        <color indexed="23"/>
        <rFont val="Arial"/>
        <family val="2"/>
      </rPr>
      <t>(kunnan peruspalvelujen valtionosuus +/- OKM:n valtionosuus</t>
    </r>
  </si>
  <si>
    <t>Opetus ja kulttuuritoimen valtionosuus 2019</t>
  </si>
  <si>
    <t>Yksikköhinta 2019</t>
  </si>
  <si>
    <t>Perusopetukseen</t>
  </si>
  <si>
    <t>Lukioiden yksikköhintarahoitus 2019</t>
  </si>
  <si>
    <t>(Valtion talousarvioesitys 14.9.2018)</t>
  </si>
  <si>
    <t>Suomenkielinen lukiokoulutus 20.9.2018: 1)</t>
  </si>
  <si>
    <t>Ruotsinkielinen lukiokoulutus 20.9.2018: 1)</t>
  </si>
  <si>
    <t>Opiskelija-</t>
  </si>
  <si>
    <t>Ylläpitäjän aikuisopiskelijan yksikköhinta</t>
  </si>
  <si>
    <t>1) Mikäli toisessa tai molemmissa kieliryhmissä on alle 200 opiskelijaa</t>
  </si>
  <si>
    <t>€/opiskelija</t>
  </si>
  <si>
    <t>opiskelijoita 2)</t>
  </si>
  <si>
    <t>Arvioitu opiskelijamäärä 20.1.2018</t>
  </si>
  <si>
    <t>Arvioitu opiskelijamäärä 20.9.2018</t>
  </si>
  <si>
    <t>Painotettu opiskelijamäärä</t>
  </si>
  <si>
    <t>LUKIOKOULUTUKSEEN VALMISTAVA KOULUTUS</t>
  </si>
  <si>
    <t>Nuoret opiskelijat</t>
  </si>
  <si>
    <t>Aikuisten oppimäärän opiskelijat</t>
  </si>
  <si>
    <t>Sisäoppilaitoksen opiskelijat</t>
  </si>
  <si>
    <t>Aikuisopiskeilijoiden valtionosuuden laskennallinen peruste:</t>
  </si>
  <si>
    <t>Yksikköhinnan laskenta 2018 / OPH</t>
  </si>
  <si>
    <t>Raportti vuoden 2018 yksikköhinnoista / OPH</t>
  </si>
  <si>
    <t>Lisätiedot lukion valtionosuudesta 2018 / OPH</t>
  </si>
  <si>
    <t>(Vuoden 2018 tasauskerroin)</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</si>
  <si>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</si>
  <si>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</si>
  <si>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</si>
  <si>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</si>
  <si>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</si>
  <si>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</si>
  <si>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</si>
  <si>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</si>
  <si>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</si>
  <si>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</si>
  <si>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</si>
  <si>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</si>
  <si>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</si>
  <si>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</si>
  <si>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</si>
  <si>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</si>
  <si>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</si>
  <si>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 mistä kunnan rahoitus Kelan myöntämän perustoimeentulotuen menoihin</t>
  </si>
  <si>
    <t>18.10.2018 / Kuntaliitto, Sanna Lehtonen</t>
  </si>
  <si>
    <t xml:space="preserve">Vuoden 2018 kuntajaolla. </t>
  </si>
  <si>
    <t>Kunta</t>
  </si>
  <si>
    <t xml:space="preserve"> Asukas-</t>
  </si>
  <si>
    <t>Laskennallinen</t>
  </si>
  <si>
    <t>Maksettava</t>
  </si>
  <si>
    <t>Laskenn.</t>
  </si>
  <si>
    <t xml:space="preserve">  Laskennalliset verotulot</t>
  </si>
  <si>
    <t>Tasaus-</t>
  </si>
  <si>
    <t>kno</t>
  </si>
  <si>
    <t>Ruotsinkielinen</t>
  </si>
  <si>
    <t>Kieli-</t>
  </si>
  <si>
    <t>Maa-</t>
  </si>
  <si>
    <t>Kunta-</t>
  </si>
  <si>
    <t>kunnallisvero</t>
  </si>
  <si>
    <t>verotusarvo</t>
  </si>
  <si>
    <t xml:space="preserve"> luku</t>
  </si>
  <si>
    <t>yhteisövero</t>
  </si>
  <si>
    <t>kiinteistövero</t>
  </si>
  <si>
    <t>raja -</t>
  </si>
  <si>
    <t>rajan</t>
  </si>
  <si>
    <t>vähennys</t>
  </si>
  <si>
    <t>nimi</t>
  </si>
  <si>
    <t>suhde</t>
  </si>
  <si>
    <t>kunta-</t>
  </si>
  <si>
    <t>liitos</t>
  </si>
  <si>
    <t>31.12.</t>
  </si>
  <si>
    <t>(ydinvoimalait.)</t>
  </si>
  <si>
    <t>euroa/</t>
  </si>
  <si>
    <t>laskenn.</t>
  </si>
  <si>
    <t>ylittävän</t>
  </si>
  <si>
    <t>2013-22</t>
  </si>
  <si>
    <t>asukas</t>
  </si>
  <si>
    <t>verot/as.</t>
  </si>
  <si>
    <t>osan</t>
  </si>
  <si>
    <t>luonn.log</t>
  </si>
  <si>
    <t>Manner-Suomi</t>
  </si>
  <si>
    <t xml:space="preserve">Alajärvi           </t>
  </si>
  <si>
    <t>14</t>
  </si>
  <si>
    <t xml:space="preserve">Alavieska          </t>
  </si>
  <si>
    <t>17</t>
  </si>
  <si>
    <t xml:space="preserve">Alavus             </t>
  </si>
  <si>
    <t xml:space="preserve">Asikkala           </t>
  </si>
  <si>
    <t>07</t>
  </si>
  <si>
    <t xml:space="preserve">Askola             </t>
  </si>
  <si>
    <t>01</t>
  </si>
  <si>
    <t xml:space="preserve">Aura               </t>
  </si>
  <si>
    <t>02</t>
  </si>
  <si>
    <t>06</t>
  </si>
  <si>
    <t xml:space="preserve">Enonkoski          </t>
  </si>
  <si>
    <t>10</t>
  </si>
  <si>
    <t xml:space="preserve">Enontekiö          </t>
  </si>
  <si>
    <t>Enontekis</t>
  </si>
  <si>
    <t>19</t>
  </si>
  <si>
    <t xml:space="preserve">Espoo              </t>
  </si>
  <si>
    <t>Esbo</t>
  </si>
  <si>
    <t xml:space="preserve">Eura               </t>
  </si>
  <si>
    <t>04</t>
  </si>
  <si>
    <t xml:space="preserve">Eurajoki           </t>
  </si>
  <si>
    <t>Euraåminne</t>
  </si>
  <si>
    <t xml:space="preserve">Evijärvi           </t>
  </si>
  <si>
    <t xml:space="preserve">Forssa             </t>
  </si>
  <si>
    <t>05</t>
  </si>
  <si>
    <t xml:space="preserve">Haapajärvi         </t>
  </si>
  <si>
    <t xml:space="preserve">Haapavesi          </t>
  </si>
  <si>
    <t xml:space="preserve">Hailuoto           </t>
  </si>
  <si>
    <t>Karlö</t>
  </si>
  <si>
    <t xml:space="preserve">Halsua             </t>
  </si>
  <si>
    <t>16</t>
  </si>
  <si>
    <t xml:space="preserve">Hamina             </t>
  </si>
  <si>
    <t>Fredrikshamn</t>
  </si>
  <si>
    <t>08</t>
  </si>
  <si>
    <t xml:space="preserve">Hankasalmi         </t>
  </si>
  <si>
    <t>13</t>
  </si>
  <si>
    <t xml:space="preserve">Hanko              </t>
  </si>
  <si>
    <t>Hangö</t>
  </si>
  <si>
    <t xml:space="preserve">Harjavalta         </t>
  </si>
  <si>
    <t xml:space="preserve">Hartola            </t>
  </si>
  <si>
    <t xml:space="preserve">Hattula            </t>
  </si>
  <si>
    <t xml:space="preserve">Hausjärvi          </t>
  </si>
  <si>
    <t xml:space="preserve">Heinävesi          </t>
  </si>
  <si>
    <t xml:space="preserve">Helsinki           </t>
  </si>
  <si>
    <t>Helsingfors</t>
  </si>
  <si>
    <t xml:space="preserve">Vantaa             </t>
  </si>
  <si>
    <t>Vanda</t>
  </si>
  <si>
    <t xml:space="preserve">Hirvensalmi        </t>
  </si>
  <si>
    <t xml:space="preserve">Hollola            </t>
  </si>
  <si>
    <t xml:space="preserve">Honkajoki          </t>
  </si>
  <si>
    <t xml:space="preserve">Huittinen          </t>
  </si>
  <si>
    <t xml:space="preserve">Humppila           </t>
  </si>
  <si>
    <t xml:space="preserve">Hyrynsalmi         </t>
  </si>
  <si>
    <t>18</t>
  </si>
  <si>
    <t xml:space="preserve">Hyvinkää           </t>
  </si>
  <si>
    <t>Hyvinge</t>
  </si>
  <si>
    <t xml:space="preserve">Hämeenkyrö         </t>
  </si>
  <si>
    <t>Tavastkyro</t>
  </si>
  <si>
    <t xml:space="preserve">Hämeenlinna        </t>
  </si>
  <si>
    <t>Tavastehus</t>
  </si>
  <si>
    <t xml:space="preserve">Heinola            </t>
  </si>
  <si>
    <t xml:space="preserve">Ii                 </t>
  </si>
  <si>
    <t xml:space="preserve">Iisalmi            </t>
  </si>
  <si>
    <t>Idensalmi</t>
  </si>
  <si>
    <t>11</t>
  </si>
  <si>
    <t xml:space="preserve">Iitti              </t>
  </si>
  <si>
    <t xml:space="preserve">Ikaalinen          </t>
  </si>
  <si>
    <t>Ikalis</t>
  </si>
  <si>
    <t xml:space="preserve">Ilmajoki           </t>
  </si>
  <si>
    <t xml:space="preserve">Ilomantsi          </t>
  </si>
  <si>
    <t>Ilomants</t>
  </si>
  <si>
    <t>12</t>
  </si>
  <si>
    <t xml:space="preserve">Inari              </t>
  </si>
  <si>
    <t>Enare</t>
  </si>
  <si>
    <t xml:space="preserve">Inkoo              </t>
  </si>
  <si>
    <t>Ingå</t>
  </si>
  <si>
    <t xml:space="preserve">Isojoki            </t>
  </si>
  <si>
    <t>Storå</t>
  </si>
  <si>
    <t xml:space="preserve">Isokyrö            </t>
  </si>
  <si>
    <t>Storkyro</t>
  </si>
  <si>
    <t>15</t>
  </si>
  <si>
    <t xml:space="preserve">Imatra             </t>
  </si>
  <si>
    <t>09</t>
  </si>
  <si>
    <t xml:space="preserve">Janakkala          </t>
  </si>
  <si>
    <t xml:space="preserve">Joensuu            </t>
  </si>
  <si>
    <t xml:space="preserve">Jokioinen          </t>
  </si>
  <si>
    <t>Jockis</t>
  </si>
  <si>
    <t xml:space="preserve">Joroinen           </t>
  </si>
  <si>
    <t>Jorois</t>
  </si>
  <si>
    <t xml:space="preserve">Joutsa             </t>
  </si>
  <si>
    <t xml:space="preserve">Juuka              </t>
  </si>
  <si>
    <t xml:space="preserve">Juupajoki          </t>
  </si>
  <si>
    <t xml:space="preserve">Juva               </t>
  </si>
  <si>
    <t xml:space="preserve">Jyväskylä          </t>
  </si>
  <si>
    <t xml:space="preserve">Jämijärvi          </t>
  </si>
  <si>
    <t xml:space="preserve">Jämsä              </t>
  </si>
  <si>
    <t xml:space="preserve">Järvenpää          </t>
  </si>
  <si>
    <t>Träskända</t>
  </si>
  <si>
    <t xml:space="preserve">Kaarina            </t>
  </si>
  <si>
    <t>S:t Karins</t>
  </si>
  <si>
    <t xml:space="preserve">Kaavi              </t>
  </si>
  <si>
    <t xml:space="preserve">Kajaani            </t>
  </si>
  <si>
    <t>Kajana</t>
  </si>
  <si>
    <t xml:space="preserve">Kalajoki           </t>
  </si>
  <si>
    <t xml:space="preserve">Kangasala          </t>
  </si>
  <si>
    <t xml:space="preserve">Kangasniemi        </t>
  </si>
  <si>
    <t xml:space="preserve">Kankaanpää         </t>
  </si>
  <si>
    <t xml:space="preserve">Kannonkoski        </t>
  </si>
  <si>
    <t xml:space="preserve">Kannus             </t>
  </si>
  <si>
    <t xml:space="preserve">Karijoki           </t>
  </si>
  <si>
    <t>Bötom</t>
  </si>
  <si>
    <t xml:space="preserve">Karkkila           </t>
  </si>
  <si>
    <t>Högfors</t>
  </si>
  <si>
    <t xml:space="preserve">Karstula           </t>
  </si>
  <si>
    <t xml:space="preserve">Karvia             </t>
  </si>
  <si>
    <t xml:space="preserve">Kaskinen           </t>
  </si>
  <si>
    <t>Kaskö</t>
  </si>
  <si>
    <t xml:space="preserve">Kauhajoki          </t>
  </si>
  <si>
    <t xml:space="preserve">Kauhava            </t>
  </si>
  <si>
    <t xml:space="preserve">Kauniainen         </t>
  </si>
  <si>
    <t>Grankulla</t>
  </si>
  <si>
    <t xml:space="preserve">Kaustinen          </t>
  </si>
  <si>
    <t>Kaustby</t>
  </si>
  <si>
    <t xml:space="preserve">Keitele            </t>
  </si>
  <si>
    <t xml:space="preserve">Kemi               </t>
  </si>
  <si>
    <t xml:space="preserve">Keminmaa           </t>
  </si>
  <si>
    <t xml:space="preserve">Kempele            </t>
  </si>
  <si>
    <t xml:space="preserve">Kerava             </t>
  </si>
  <si>
    <t>Kervo</t>
  </si>
  <si>
    <t xml:space="preserve">Keuruu             </t>
  </si>
  <si>
    <t xml:space="preserve">Kihniö             </t>
  </si>
  <si>
    <t xml:space="preserve">Kinnula            </t>
  </si>
  <si>
    <t xml:space="preserve">Kirkkonummi        </t>
  </si>
  <si>
    <t>Kyrkslätt</t>
  </si>
  <si>
    <t xml:space="preserve">Kitee              </t>
  </si>
  <si>
    <t xml:space="preserve">Kittilä            </t>
  </si>
  <si>
    <t xml:space="preserve">Kiuruvesi          </t>
  </si>
  <si>
    <t xml:space="preserve">Kivijärvi          </t>
  </si>
  <si>
    <t xml:space="preserve">Kokemäki           </t>
  </si>
  <si>
    <t>Kumo</t>
  </si>
  <si>
    <t xml:space="preserve">Kokkola            </t>
  </si>
  <si>
    <t>Karleby</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</si>
  <si>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</si>
  <si>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</si>
  <si>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</si>
  <si>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</si>
  <si>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</si>
  <si>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</si>
  <si>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</si>
  <si>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</si>
  <si>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Kristinestad</t>
  </si>
  <si>
    <t xml:space="preserve">Kruunupyy          </t>
  </si>
  <si>
    <t>Kronoby</t>
  </si>
  <si>
    <t xml:space="preserve">Kuhmo              </t>
  </si>
  <si>
    <t xml:space="preserve">Kuhmoinen          </t>
  </si>
  <si>
    <t xml:space="preserve">Kuopio             </t>
  </si>
  <si>
    <t xml:space="preserve">Kuortane           </t>
  </si>
  <si>
    <t xml:space="preserve">Kurikka            </t>
  </si>
  <si>
    <t xml:space="preserve">Kustavi            </t>
  </si>
  <si>
    <t>Gustavs</t>
  </si>
  <si>
    <t xml:space="preserve">Kuusamo            </t>
  </si>
  <si>
    <t xml:space="preserve">Outokumpu          </t>
  </si>
  <si>
    <t xml:space="preserve">Kyyjärvi           </t>
  </si>
  <si>
    <t xml:space="preserve">Kärkölä            </t>
  </si>
  <si>
    <t xml:space="preserve">Kärsämäki          </t>
  </si>
  <si>
    <t xml:space="preserve">Kemijärvi          </t>
  </si>
  <si>
    <t>Kimitoön</t>
  </si>
  <si>
    <t xml:space="preserve">Lahti              </t>
  </si>
  <si>
    <t>Lahtis</t>
  </si>
  <si>
    <t xml:space="preserve">Laihia             </t>
  </si>
  <si>
    <t>Laihela</t>
  </si>
  <si>
    <t xml:space="preserve">Laitila            </t>
  </si>
  <si>
    <t xml:space="preserve">Lapinlahti         </t>
  </si>
  <si>
    <t xml:space="preserve">Lappajärvi         </t>
  </si>
  <si>
    <t xml:space="preserve">Lappeenranta       </t>
  </si>
  <si>
    <t>Villmanstrand</t>
  </si>
  <si>
    <t xml:space="preserve">Lapinjärvi         </t>
  </si>
  <si>
    <t>Lappträsk</t>
  </si>
  <si>
    <t xml:space="preserve">Lapua              </t>
  </si>
  <si>
    <t>Lappo</t>
  </si>
  <si>
    <t xml:space="preserve">Laukaa             </t>
  </si>
  <si>
    <t xml:space="preserve">Lemi               </t>
  </si>
  <si>
    <t xml:space="preserve">Lempäälä           </t>
  </si>
  <si>
    <t xml:space="preserve">Leppävirta         </t>
  </si>
  <si>
    <t xml:space="preserve">Lestijärvi         </t>
  </si>
  <si>
    <t xml:space="preserve">Lieksa             </t>
  </si>
  <si>
    <t xml:space="preserve">Lieto              </t>
  </si>
  <si>
    <t>Lundo</t>
  </si>
  <si>
    <t xml:space="preserve">Liminka            </t>
  </si>
  <si>
    <t>Limingo</t>
  </si>
  <si>
    <t xml:space="preserve">Liperi             </t>
  </si>
  <si>
    <t xml:space="preserve">Loimaa             </t>
  </si>
  <si>
    <t xml:space="preserve">Loppi              </t>
  </si>
  <si>
    <t xml:space="preserve">Loviisa            </t>
  </si>
  <si>
    <t>Lovisa</t>
  </si>
  <si>
    <t xml:space="preserve">Luhanka            </t>
  </si>
  <si>
    <t xml:space="preserve">Lumijoki           </t>
  </si>
  <si>
    <t xml:space="preserve">Luoto              </t>
  </si>
  <si>
    <t>Larsmo</t>
  </si>
  <si>
    <t xml:space="preserve">Luumäki            </t>
  </si>
  <si>
    <t xml:space="preserve">Lohja              </t>
  </si>
  <si>
    <t>Lojo</t>
  </si>
  <si>
    <t>Pargas</t>
  </si>
  <si>
    <t xml:space="preserve">Maalahti           </t>
  </si>
  <si>
    <t>Malax</t>
  </si>
  <si>
    <t xml:space="preserve">Marttila           </t>
  </si>
  <si>
    <t xml:space="preserve">Masku              </t>
  </si>
  <si>
    <t xml:space="preserve">Merijärvi          </t>
  </si>
  <si>
    <t xml:space="preserve">Merikarvia         </t>
  </si>
  <si>
    <t>Sastmola</t>
  </si>
  <si>
    <t xml:space="preserve">Miehikkälä         </t>
  </si>
  <si>
    <t xml:space="preserve">Mikkeli            </t>
  </si>
  <si>
    <t>S:t Michel</t>
  </si>
  <si>
    <t xml:space="preserve">Muhos              </t>
  </si>
  <si>
    <t xml:space="preserve">Multia             </t>
  </si>
  <si>
    <t xml:space="preserve">Muonio             </t>
  </si>
  <si>
    <t xml:space="preserve">Mustasaari         </t>
  </si>
  <si>
    <t>Korsholm</t>
  </si>
  <si>
    <t xml:space="preserve">Muurame            </t>
  </si>
  <si>
    <t xml:space="preserve">Mynämäki           </t>
  </si>
  <si>
    <t xml:space="preserve">Myrskylä           </t>
  </si>
  <si>
    <t>Mörskom</t>
  </si>
  <si>
    <t xml:space="preserve">Mäntsälä           </t>
  </si>
  <si>
    <t xml:space="preserve">Mäntyharju         </t>
  </si>
  <si>
    <t xml:space="preserve">Mänttä-Vilppula             </t>
  </si>
  <si>
    <t xml:space="preserve">Naantali           </t>
  </si>
  <si>
    <t>Nådendal</t>
  </si>
  <si>
    <t xml:space="preserve">Nakkila            </t>
  </si>
  <si>
    <t xml:space="preserve">Nivala             </t>
  </si>
  <si>
    <t xml:space="preserve">Nokia              </t>
  </si>
  <si>
    <t xml:space="preserve">Nousiainen         </t>
  </si>
  <si>
    <t>Nousis</t>
  </si>
  <si>
    <t xml:space="preserve">Nurmes             </t>
  </si>
  <si>
    <t xml:space="preserve">Nurmijärvi         </t>
  </si>
  <si>
    <t xml:space="preserve">Närpiö             </t>
  </si>
  <si>
    <t>Närpes</t>
  </si>
  <si>
    <t xml:space="preserve">Orimattila         </t>
  </si>
  <si>
    <t xml:space="preserve">Oripää             </t>
  </si>
  <si>
    <t xml:space="preserve">Orivesi            </t>
  </si>
  <si>
    <t xml:space="preserve">Oulainen           </t>
  </si>
  <si>
    <t xml:space="preserve">Oulu               </t>
  </si>
  <si>
    <t>Uleåborg</t>
  </si>
  <si>
    <t xml:space="preserve">Padasjoki          </t>
  </si>
  <si>
    <t xml:space="preserve">Paimio             </t>
  </si>
  <si>
    <t>Pemar</t>
  </si>
  <si>
    <t xml:space="preserve">Paltamo            </t>
  </si>
  <si>
    <t xml:space="preserve">Parikkala          </t>
  </si>
  <si>
    <t xml:space="preserve">Parkano            </t>
  </si>
  <si>
    <t xml:space="preserve">Pelkosenniemi      </t>
  </si>
  <si>
    <t xml:space="preserve">Perho              </t>
  </si>
  <si>
    <t xml:space="preserve">Pertunmaa          </t>
  </si>
  <si>
    <t xml:space="preserve">Petäjävesi         </t>
  </si>
  <si>
    <t xml:space="preserve">Pieksämäki         </t>
  </si>
  <si>
    <t xml:space="preserve">Pielavesi          </t>
  </si>
  <si>
    <t xml:space="preserve">Pietarsaari        </t>
  </si>
  <si>
    <t>Jakobstad</t>
  </si>
  <si>
    <t>Pedersören kunta</t>
  </si>
  <si>
    <t xml:space="preserve">Pihtipudas         </t>
  </si>
  <si>
    <t xml:space="preserve">Pirkkala           </t>
  </si>
  <si>
    <t>Birkala</t>
  </si>
  <si>
    <t xml:space="preserve">Polvijärvi         </t>
  </si>
  <si>
    <t xml:space="preserve">Pomarkku           </t>
  </si>
  <si>
    <t>Påmark</t>
  </si>
  <si>
    <t xml:space="preserve">Pori               </t>
  </si>
  <si>
    <t>Björneborg</t>
  </si>
  <si>
    <t xml:space="preserve">Pornainen          </t>
  </si>
  <si>
    <t>Borgnäs</t>
  </si>
  <si>
    <t xml:space="preserve">Posio              </t>
  </si>
  <si>
    <t xml:space="preserve">Pudasjärvi         </t>
  </si>
  <si>
    <t xml:space="preserve">Pukkila            </t>
  </si>
  <si>
    <t xml:space="preserve">Punkalaidun        </t>
  </si>
  <si>
    <t xml:space="preserve">Puolanka           </t>
  </si>
  <si>
    <t xml:space="preserve">Puumala            </t>
  </si>
  <si>
    <t>Pyttis</t>
  </si>
  <si>
    <t xml:space="preserve">Pyhäjoki           </t>
  </si>
  <si>
    <t xml:space="preserve">Pyhäntä            </t>
  </si>
  <si>
    <t xml:space="preserve">Pyhäranta          </t>
  </si>
  <si>
    <t xml:space="preserve">Pälkäne            </t>
  </si>
  <si>
    <t xml:space="preserve">Pöytyä             </t>
  </si>
  <si>
    <t xml:space="preserve">Porvoo             </t>
  </si>
  <si>
    <t>Borgå</t>
  </si>
  <si>
    <t xml:space="preserve">Raahe              </t>
  </si>
  <si>
    <t>Brahestad</t>
  </si>
  <si>
    <t xml:space="preserve">Raisio             </t>
  </si>
  <si>
    <t>Reso</t>
  </si>
  <si>
    <t xml:space="preserve">Rantasalmi         </t>
  </si>
  <si>
    <t xml:space="preserve">Ranua              </t>
  </si>
  <si>
    <t xml:space="preserve">Rauma              </t>
  </si>
  <si>
    <t>Raumo</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</si>
  <si>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</si>
  <si>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</si>
  <si>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</si>
  <si>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</si>
  <si>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</si>
  <si>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</si>
  <si>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</si>
  <si>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</si>
  <si>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</si>
  <si>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</si>
  <si>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</si>
  <si>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Raseborg</t>
  </si>
  <si>
    <t xml:space="preserve">Saarijärvi         </t>
  </si>
  <si>
    <t xml:space="preserve">Salla              </t>
  </si>
  <si>
    <t xml:space="preserve">Salo               </t>
  </si>
  <si>
    <t xml:space="preserve">Sauvo              </t>
  </si>
  <si>
    <t>Sagu</t>
  </si>
  <si>
    <t xml:space="preserve">Savitaipale        </t>
  </si>
  <si>
    <t xml:space="preserve">Savonlinna         </t>
  </si>
  <si>
    <t>Nyslott</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</si>
  <si>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</si>
  <si>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</si>
  <si>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</si>
  <si>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</si>
  <si>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</si>
  <si>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</si>
  <si>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</si>
  <si>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</si>
  <si>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Sibbo</t>
  </si>
  <si>
    <t xml:space="preserve">Siuntio            </t>
  </si>
  <si>
    <t>Sjundeå</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</si>
  <si>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</si>
  <si>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</si>
  <si>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</si>
  <si>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</si>
  <si>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</si>
  <si>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</si>
  <si>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</si>
  <si>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</si>
  <si>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</si>
  <si>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</si>
  <si>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Vaala              </t>
  </si>
  <si>
    <t xml:space="preserve">Taipalsaari        </t>
  </si>
  <si>
    <t xml:space="preserve">Taivalkoski        </t>
  </si>
  <si>
    <t xml:space="preserve">Taivassalo         </t>
  </si>
  <si>
    <t>Tövsala</t>
  </si>
  <si>
    <t xml:space="preserve">Tammela            </t>
  </si>
  <si>
    <t xml:space="preserve">Tampere            </t>
  </si>
  <si>
    <t>Tammerfors</t>
  </si>
  <si>
    <t xml:space="preserve">Tervo              </t>
  </si>
  <si>
    <t xml:space="preserve">Tervola            </t>
  </si>
  <si>
    <t xml:space="preserve">Teuva              </t>
  </si>
  <si>
    <t>Östermark</t>
  </si>
  <si>
    <t xml:space="preserve">Tohmajärvi         </t>
  </si>
  <si>
    <t xml:space="preserve">Toholampi          </t>
  </si>
  <si>
    <t xml:space="preserve">Toivakka           </t>
  </si>
  <si>
    <t xml:space="preserve">Tornio             </t>
  </si>
  <si>
    <t>Torneå</t>
  </si>
  <si>
    <t xml:space="preserve">Turku              </t>
  </si>
  <si>
    <t>Åbo</t>
  </si>
  <si>
    <t xml:space="preserve">Pello              </t>
  </si>
  <si>
    <t xml:space="preserve">Tuusniemi          </t>
  </si>
  <si>
    <t xml:space="preserve">Tuusula            </t>
  </si>
  <si>
    <t>Tusby</t>
  </si>
  <si>
    <t xml:space="preserve">Tyrnävä            </t>
  </si>
  <si>
    <t xml:space="preserve">Ulvila             </t>
  </si>
  <si>
    <t>Ulvsby</t>
  </si>
  <si>
    <t xml:space="preserve">Urjala             </t>
  </si>
  <si>
    <t xml:space="preserve">Utajärvi           </t>
  </si>
  <si>
    <t xml:space="preserve">Utsjoki            </t>
  </si>
  <si>
    <t xml:space="preserve">Uurainen           </t>
  </si>
  <si>
    <t xml:space="preserve">Uusikaarlepyy      </t>
  </si>
  <si>
    <t>Nykarleby</t>
  </si>
  <si>
    <t xml:space="preserve">Uusikaupunki       </t>
  </si>
  <si>
    <t>Nystad</t>
  </si>
  <si>
    <t xml:space="preserve">Vaasa              </t>
  </si>
  <si>
    <t>Vasa</t>
  </si>
  <si>
    <t xml:space="preserve">Valkeakoski        </t>
  </si>
  <si>
    <t xml:space="preserve">Valtimo            </t>
  </si>
  <si>
    <t xml:space="preserve">Varkaus            </t>
  </si>
  <si>
    <t xml:space="preserve">Vehmaa             </t>
  </si>
  <si>
    <t xml:space="preserve">Vesanto            </t>
  </si>
  <si>
    <t xml:space="preserve">Vesilahti          </t>
  </si>
  <si>
    <t xml:space="preserve">Veteli             </t>
  </si>
  <si>
    <t>Vetil</t>
  </si>
  <si>
    <t xml:space="preserve">Vieremä            </t>
  </si>
  <si>
    <t xml:space="preserve">Vihti              </t>
  </si>
  <si>
    <t>Vichtis</t>
  </si>
  <si>
    <t xml:space="preserve">Viitasaari         </t>
  </si>
  <si>
    <t xml:space="preserve">Vimpeli            </t>
  </si>
  <si>
    <t xml:space="preserve">Virolahti          </t>
  </si>
  <si>
    <t xml:space="preserve">Virrat             </t>
  </si>
  <si>
    <t>Virdois</t>
  </si>
  <si>
    <t>Vörå</t>
  </si>
  <si>
    <t xml:space="preserve">Ylitornio          </t>
  </si>
  <si>
    <t>Övertorneå</t>
  </si>
  <si>
    <t xml:space="preserve">Ylivieska          </t>
  </si>
  <si>
    <t xml:space="preserve">Ylöjärvi           </t>
  </si>
  <si>
    <t xml:space="preserve">Ypäjä              </t>
  </si>
  <si>
    <t xml:space="preserve">Ähtäri             </t>
  </si>
  <si>
    <t>Etseri</t>
  </si>
  <si>
    <t xml:space="preserve">Äänekoski          </t>
  </si>
  <si>
    <t>KUNNAN VALTIONOSUUSRAHOITUS 2020</t>
  </si>
  <si>
    <t>Asukasluku 31.12.2018:</t>
  </si>
  <si>
    <t>Valtionosuuteen tehtävät vähennykset ja lisäykset 2020</t>
  </si>
  <si>
    <t>Ikärakenteen laskennalliset kustannukset 2020</t>
  </si>
  <si>
    <t>Kunnan valtionosuusrahoitus 2020</t>
  </si>
  <si>
    <t>11.9.2019, Kuntaliitto / Sanna Lehtonen</t>
  </si>
  <si>
    <t>Oppilaitosten perustamiskustannusten valtionavustuspalautus</t>
  </si>
  <si>
    <t>Kilpailukykysopimukseen liittyvä kompensaatio vuonna 2020</t>
  </si>
  <si>
    <t>UUSI MOMENTTI 2020: Valtion korvaus veromenetyksistä</t>
  </si>
  <si>
    <t>Veroperustemuutosten vaikutus vuodelta 2020</t>
  </si>
  <si>
    <t>vl_25</t>
  </si>
  <si>
    <t>vl_26</t>
  </si>
  <si>
    <t>Ennakollinen laskelma verotuloihin perustuvasta valtionosuuden tasauksesta vuonna 2020</t>
  </si>
  <si>
    <t>Lähde: Kuntaliitto 9.9.2019</t>
  </si>
  <si>
    <t>Verovuoden 2018 ennakkotiedoilla laskettu. Lähde: Verohallinto 9.9.2019</t>
  </si>
  <si>
    <r>
      <t xml:space="preserve">Keskimääräinen tuloveroprosentti: </t>
    </r>
    <r>
      <rPr>
        <b/>
        <sz val="10"/>
        <color indexed="12"/>
        <rFont val="Arial"/>
        <family val="2"/>
      </rPr>
      <t>19,85 %</t>
    </r>
  </si>
  <si>
    <r>
      <t>100 %</t>
    </r>
    <r>
      <rPr>
        <u val="single"/>
        <sz val="10"/>
        <color indexed="12"/>
        <rFont val="Arial"/>
        <family val="2"/>
      </rPr>
      <t xml:space="preserve">:n tasausraja: </t>
    </r>
    <r>
      <rPr>
        <b/>
        <u val="single"/>
        <sz val="10"/>
        <color indexed="12"/>
        <rFont val="Arial"/>
        <family val="2"/>
      </rPr>
      <t xml:space="preserve"> 3 787,12 </t>
    </r>
    <r>
      <rPr>
        <u val="single"/>
        <sz val="10"/>
        <color indexed="12"/>
        <rFont val="Arial"/>
        <family val="2"/>
      </rPr>
      <t>euroa/asukas. Tasausvähennysprosentti tasausrajan ylimenevältä osalta= 30 + ylimenevän osan luonnollinen logaritmi</t>
    </r>
    <r>
      <rPr>
        <sz val="10"/>
        <color indexed="12"/>
        <rFont val="Arial"/>
        <family val="2"/>
      </rPr>
      <t>.</t>
    </r>
  </si>
  <si>
    <t xml:space="preserve">       Tasaus 2020</t>
  </si>
  <si>
    <t>Ydinvoima</t>
  </si>
  <si>
    <t>Maksuunpantu kunnallis-</t>
  </si>
  <si>
    <t xml:space="preserve">  Maksuunpantua kunnallisveroa</t>
  </si>
  <si>
    <t xml:space="preserve">     Kuntien osuus maksetta-</t>
  </si>
  <si>
    <t xml:space="preserve">         yhteensä 2018</t>
  </si>
  <si>
    <t xml:space="preserve">  verovuonna 2018</t>
  </si>
  <si>
    <t xml:space="preserve"> vastaavat verotettavat tulot 2018</t>
  </si>
  <si>
    <t xml:space="preserve">   vasta yhteisöverosta 2018</t>
  </si>
  <si>
    <t>HUOM! Uusi momentti 28.90.35 Veromenetysten kompensaatiot</t>
  </si>
  <si>
    <t>- veromenetysten kompensaatiot vuosina 2010-2020</t>
  </si>
  <si>
    <r>
      <t xml:space="preserve">2. Opetus- ja kulttuuritoimen valtionosuudet </t>
    </r>
    <r>
      <rPr>
        <sz val="10"/>
        <rFont val="Arial"/>
        <family val="2"/>
      </rPr>
      <t>(HUOM! Vuoden 2019 taso)</t>
    </r>
  </si>
  <si>
    <t>Kunnan valtionosuus ja veromen. kompensaatiot 2020</t>
  </si>
  <si>
    <t>muut laskennalliset kustannukset 2020</t>
  </si>
  <si>
    <t>Lisäosat 2020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</si>
</sst>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s>
  <fonts count="169">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vertAlign val="superscript"/>
      <sz val="8"/>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10"/>
      <color indexed="12"/>
      <name val="Arial"/>
      <family val="2"/>
    </font>
    <font>
      <b/>
      <u val="single"/>
      <sz val="10"/>
      <color indexed="12"/>
      <name val="Arial"/>
      <family val="2"/>
    </font>
    <font>
      <sz val="9"/>
      <color indexed="39"/>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b/>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9"/>
      <color indexed="60"/>
      <name val="Arial"/>
      <family val="2"/>
    </font>
    <font>
      <b/>
      <sz val="9"/>
      <color indexed="60"/>
      <name val="Arial"/>
      <family val="2"/>
    </font>
    <font>
      <sz val="10"/>
      <color indexed="60"/>
      <name val="Arial"/>
      <family val="2"/>
    </font>
    <font>
      <sz val="9"/>
      <color indexed="60"/>
      <name val="Arial Narrow"/>
      <family val="2"/>
    </font>
    <font>
      <sz val="9"/>
      <color indexed="56"/>
      <name val="Arial"/>
      <family val="2"/>
    </font>
    <font>
      <b/>
      <sz val="9"/>
      <color indexed="56"/>
      <name val="Arial"/>
      <family val="2"/>
    </font>
    <font>
      <sz val="10"/>
      <color indexed="56"/>
      <name val="Arial"/>
      <family val="2"/>
    </font>
    <font>
      <sz val="9"/>
      <color indexed="56"/>
      <name val="Arial Narrow"/>
      <family val="2"/>
    </font>
    <font>
      <sz val="9"/>
      <color indexed="10"/>
      <name val="Arial"/>
      <family val="2"/>
    </font>
    <font>
      <b/>
      <sz val="9"/>
      <color indexed="10"/>
      <name val="Arial"/>
      <family val="2"/>
    </font>
    <font>
      <b/>
      <sz val="14"/>
      <color indexed="23"/>
      <name val="Arial"/>
      <family val="2"/>
    </font>
    <font>
      <sz val="14"/>
      <color indexed="23"/>
      <name val="Arial"/>
      <family val="2"/>
    </font>
    <font>
      <sz val="9"/>
      <color indexed="10"/>
      <name val="Arial Narrow"/>
      <family val="2"/>
    </font>
    <font>
      <sz val="8"/>
      <name val="Calibri"/>
      <family val="2"/>
    </font>
    <font>
      <b/>
      <u val="single"/>
      <sz val="14"/>
      <color indexed="8"/>
      <name val="Calibri"/>
      <family val="2"/>
    </font>
    <font>
      <b/>
      <sz val="14"/>
      <color indexed="8"/>
      <name val="Calibri"/>
      <family val="2"/>
    </font>
    <font>
      <i/>
      <sz val="12"/>
      <color indexed="8"/>
      <name val="Calibri"/>
      <family val="2"/>
    </font>
    <font>
      <sz val="12"/>
      <color indexed="8"/>
      <name val="Calibri"/>
      <family val="2"/>
    </font>
    <font>
      <b/>
      <sz val="12"/>
      <color indexed="8"/>
      <name val="Calibri"/>
      <family val="2"/>
    </font>
    <font>
      <sz val="5"/>
      <color indexed="8"/>
      <name val="Calibri"/>
      <family val="2"/>
    </font>
    <font>
      <b/>
      <sz val="12"/>
      <color indexed="17"/>
      <name val="Calibri"/>
      <family val="2"/>
    </font>
    <font>
      <b/>
      <sz val="12"/>
      <color indexed="30"/>
      <name val="Calibri"/>
      <family val="2"/>
    </font>
    <font>
      <sz val="12"/>
      <color indexed="17"/>
      <name val="Calibri"/>
      <family val="2"/>
    </font>
    <font>
      <sz val="12"/>
      <color indexed="30"/>
      <name val="Calibri"/>
      <family val="2"/>
    </font>
    <font>
      <b/>
      <sz val="12"/>
      <color indexed="10"/>
      <name val="Calibri"/>
      <family val="2"/>
    </font>
    <font>
      <b/>
      <sz val="5"/>
      <color indexed="8"/>
      <name val="Calibri"/>
      <family val="2"/>
    </font>
    <font>
      <b/>
      <i/>
      <sz val="12"/>
      <color indexed="30"/>
      <name val="Calibri"/>
      <family val="2"/>
    </font>
    <font>
      <b/>
      <sz val="54"/>
      <color indexed="9"/>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b/>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b/>
      <u val="single"/>
      <sz val="10"/>
      <color rgb="FF0000FF"/>
      <name val="Arial"/>
      <family val="2"/>
    </font>
    <font>
      <sz val="9"/>
      <color theme="9" tint="-0.4999699890613556"/>
      <name val="Arial"/>
      <family val="2"/>
    </font>
    <font>
      <b/>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9"/>
      <color theme="3"/>
      <name val="Arial"/>
      <family val="2"/>
    </font>
    <font>
      <b/>
      <sz val="9"/>
      <color rgb="FF002060"/>
      <name val="Arial"/>
      <family val="2"/>
    </font>
    <font>
      <sz val="10"/>
      <color rgb="FF002060"/>
      <name val="Arial"/>
      <family val="2"/>
    </font>
    <font>
      <sz val="9"/>
      <color rgb="FF002060"/>
      <name val="Arial Narrow"/>
      <family val="2"/>
    </font>
    <font>
      <sz val="9"/>
      <color rgb="FFFF0000"/>
      <name val="Arial"/>
      <family val="2"/>
    </font>
    <font>
      <b/>
      <sz val="9"/>
      <color rgb="FFFF0000"/>
      <name val="Arial"/>
      <family val="2"/>
    </font>
    <font>
      <sz val="9"/>
      <color theme="1"/>
      <name val="Arial"/>
      <family val="2"/>
    </font>
    <font>
      <sz val="9"/>
      <color theme="1"/>
      <name val="Arial Narrow"/>
      <family val="2"/>
    </font>
    <font>
      <sz val="9"/>
      <color rgb="FFFF0000"/>
      <name val="Arial Narrow"/>
      <family val="2"/>
    </font>
    <font>
      <b/>
      <sz val="14"/>
      <color theme="1" tint="0.49998000264167786"/>
      <name val="Arial"/>
      <family val="2"/>
    </font>
    <font>
      <sz val="14"/>
      <color theme="1" tint="0.4999800026416778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10" fillId="27" borderId="0" applyNumberFormat="0" applyBorder="0" applyAlignment="0" applyProtection="0"/>
    <xf numFmtId="0" fontId="9" fillId="0" borderId="0" applyNumberFormat="0" applyFill="0" applyBorder="0" applyAlignment="0" applyProtection="0"/>
    <xf numFmtId="0" fontId="111" fillId="28" borderId="0" applyNumberFormat="0" applyBorder="0" applyAlignment="0" applyProtection="0"/>
    <xf numFmtId="0" fontId="112" fillId="29" borderId="2" applyNumberFormat="0" applyAlignment="0" applyProtection="0"/>
    <xf numFmtId="0" fontId="113" fillId="0" borderId="3" applyNumberFormat="0" applyFill="0" applyAlignment="0" applyProtection="0"/>
    <xf numFmtId="0" fontId="114" fillId="30" borderId="0" applyNumberFormat="0" applyBorder="0" applyAlignment="0" applyProtection="0"/>
    <xf numFmtId="0" fontId="0" fillId="0" borderId="0">
      <alignment/>
      <protection/>
    </xf>
    <xf numFmtId="0" fontId="19" fillId="0" borderId="0">
      <alignment/>
      <protection/>
    </xf>
    <xf numFmtId="0" fontId="29" fillId="0" borderId="0">
      <alignment/>
      <protection/>
    </xf>
    <xf numFmtId="0" fontId="34" fillId="0" borderId="0">
      <alignment/>
      <protection/>
    </xf>
    <xf numFmtId="0" fontId="115" fillId="0" borderId="0" applyNumberFormat="0" applyFill="0" applyBorder="0" applyAlignment="0" applyProtection="0"/>
    <xf numFmtId="0" fontId="116" fillId="0" borderId="4" applyNumberFormat="0" applyFill="0" applyAlignment="0" applyProtection="0"/>
    <xf numFmtId="0" fontId="117" fillId="0" borderId="5" applyNumberFormat="0" applyFill="0" applyAlignment="0" applyProtection="0"/>
    <xf numFmtId="0" fontId="118" fillId="0" borderId="6" applyNumberFormat="0" applyFill="0" applyAlignment="0" applyProtection="0"/>
    <xf numFmtId="0" fontId="11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7" applyNumberFormat="0" applyFill="0" applyAlignment="0" applyProtection="0"/>
    <xf numFmtId="0" fontId="121" fillId="31" borderId="2" applyNumberFormat="0" applyAlignment="0" applyProtection="0"/>
    <xf numFmtId="0" fontId="122" fillId="32" borderId="8" applyNumberFormat="0" applyAlignment="0" applyProtection="0"/>
    <xf numFmtId="0" fontId="12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0" applyNumberFormat="0" applyFill="0" applyBorder="0" applyAlignment="0" applyProtection="0"/>
  </cellStyleXfs>
  <cellXfs count="520">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25"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126"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27" fillId="0" borderId="0" xfId="0" applyFont="1" applyAlignment="1">
      <alignment/>
    </xf>
    <xf numFmtId="0" fontId="128"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0" fontId="129" fillId="0" borderId="0" xfId="0" applyFont="1" applyAlignment="1">
      <alignment/>
    </xf>
    <xf numFmtId="3" fontId="130" fillId="0" borderId="0" xfId="0" applyNumberFormat="1" applyFont="1" applyFill="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27"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6" fillId="0" borderId="0" xfId="0" applyFont="1" applyAlignment="1">
      <alignment/>
    </xf>
    <xf numFmtId="0" fontId="25" fillId="0" borderId="0" xfId="0" applyFont="1" applyAlignment="1" applyProtection="1">
      <alignment/>
      <protection/>
    </xf>
    <xf numFmtId="0" fontId="0" fillId="0" borderId="0" xfId="0" applyFont="1" applyAlignment="1" quotePrefix="1">
      <alignment/>
    </xf>
    <xf numFmtId="0" fontId="27" fillId="0" borderId="0" xfId="42" applyFont="1" applyAlignment="1" applyProtection="1">
      <alignment/>
      <protection/>
    </xf>
    <xf numFmtId="0" fontId="11" fillId="0" borderId="0" xfId="0" applyFont="1" applyAlignment="1">
      <alignment horizontal="right"/>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4" fontId="1" fillId="36" borderId="16" xfId="0" applyNumberFormat="1" applyFont="1" applyFill="1" applyBorder="1" applyAlignment="1" applyProtection="1">
      <alignment/>
      <protection locked="0"/>
    </xf>
    <xf numFmtId="9" fontId="5" fillId="0" borderId="0" xfId="58" applyFont="1" applyAlignment="1">
      <alignment/>
    </xf>
    <xf numFmtId="14" fontId="131" fillId="0" borderId="28" xfId="0" applyNumberFormat="1" applyFont="1" applyFill="1" applyBorder="1" applyAlignment="1" applyProtection="1" quotePrefix="1">
      <alignment/>
      <protection locked="0"/>
    </xf>
    <xf numFmtId="0" fontId="132" fillId="0" borderId="29" xfId="0" applyFont="1" applyBorder="1" applyAlignment="1">
      <alignment/>
    </xf>
    <xf numFmtId="14" fontId="131" fillId="0" borderId="29" xfId="0" applyNumberFormat="1" applyFont="1" applyFill="1" applyBorder="1" applyAlignment="1" applyProtection="1" quotePrefix="1">
      <alignment/>
      <protection locked="0"/>
    </xf>
    <xf numFmtId="0" fontId="132" fillId="0" borderId="30" xfId="0" applyFont="1" applyBorder="1" applyAlignment="1">
      <alignment/>
    </xf>
    <xf numFmtId="0" fontId="132" fillId="0" borderId="31" xfId="0" applyFont="1" applyBorder="1" applyAlignment="1">
      <alignment/>
    </xf>
    <xf numFmtId="14" fontId="131" fillId="0" borderId="0" xfId="0" applyNumberFormat="1" applyFont="1" applyBorder="1" applyAlignment="1" quotePrefix="1">
      <alignment/>
    </xf>
    <xf numFmtId="0" fontId="132" fillId="0" borderId="0" xfId="0" applyFont="1" applyBorder="1" applyAlignment="1">
      <alignment/>
    </xf>
    <xf numFmtId="0" fontId="132" fillId="0" borderId="32" xfId="0" applyFont="1" applyBorder="1" applyAlignment="1">
      <alignment/>
    </xf>
    <xf numFmtId="0" fontId="133" fillId="0" borderId="0" xfId="0" applyFont="1" applyBorder="1" applyAlignment="1">
      <alignment/>
    </xf>
    <xf numFmtId="0" fontId="132" fillId="36" borderId="10" xfId="0" applyFont="1" applyFill="1" applyBorder="1" applyAlignment="1">
      <alignment/>
    </xf>
    <xf numFmtId="0" fontId="134" fillId="0" borderId="0" xfId="0" applyFont="1" applyBorder="1" applyAlignment="1" quotePrefix="1">
      <alignment/>
    </xf>
    <xf numFmtId="0" fontId="132" fillId="33" borderId="10" xfId="0" applyFont="1" applyFill="1" applyBorder="1" applyAlignment="1">
      <alignment/>
    </xf>
    <xf numFmtId="0" fontId="135" fillId="0" borderId="0" xfId="0" applyFont="1" applyBorder="1" applyAlignment="1">
      <alignment/>
    </xf>
    <xf numFmtId="0" fontId="134" fillId="0" borderId="0" xfId="0" applyFont="1" applyBorder="1" applyAlignment="1">
      <alignment/>
    </xf>
    <xf numFmtId="3" fontId="136" fillId="0" borderId="0" xfId="0" applyNumberFormat="1" applyFont="1" applyFill="1" applyBorder="1" applyAlignment="1" applyProtection="1">
      <alignment/>
      <protection/>
    </xf>
    <xf numFmtId="0" fontId="137" fillId="0" borderId="0" xfId="0" applyFont="1" applyBorder="1" applyAlignment="1">
      <alignment/>
    </xf>
    <xf numFmtId="0" fontId="132" fillId="0" borderId="32" xfId="0" applyFont="1" applyBorder="1" applyAlignment="1">
      <alignment horizontal="center"/>
    </xf>
    <xf numFmtId="0" fontId="134" fillId="0" borderId="32" xfId="0" applyFont="1" applyBorder="1" applyAlignment="1">
      <alignment horizontal="center"/>
    </xf>
    <xf numFmtId="0" fontId="134" fillId="0" borderId="32" xfId="0" applyFont="1" applyBorder="1" applyAlignment="1">
      <alignment/>
    </xf>
    <xf numFmtId="3" fontId="132" fillId="33" borderId="10" xfId="0" applyNumberFormat="1" applyFont="1" applyFill="1" applyBorder="1" applyAlignment="1">
      <alignment/>
    </xf>
    <xf numFmtId="4" fontId="134" fillId="0" borderId="32" xfId="0" applyNumberFormat="1" applyFont="1" applyBorder="1" applyAlignment="1">
      <alignment/>
    </xf>
    <xf numFmtId="0" fontId="132" fillId="0" borderId="15" xfId="0" applyFont="1" applyBorder="1" applyAlignment="1">
      <alignment/>
    </xf>
    <xf numFmtId="3" fontId="132" fillId="0" borderId="15" xfId="0" applyNumberFormat="1" applyFont="1" applyFill="1" applyBorder="1" applyAlignment="1" applyProtection="1">
      <alignment/>
      <protection/>
    </xf>
    <xf numFmtId="0" fontId="132" fillId="0" borderId="15" xfId="0" applyFont="1" applyBorder="1" applyAlignment="1">
      <alignment horizontal="center"/>
    </xf>
    <xf numFmtId="3" fontId="132" fillId="33" borderId="16" xfId="0" applyNumberFormat="1" applyFont="1" applyFill="1" applyBorder="1" applyAlignment="1" applyProtection="1">
      <alignment/>
      <protection/>
    </xf>
    <xf numFmtId="4" fontId="134" fillId="0" borderId="33" xfId="0" applyNumberFormat="1" applyFont="1" applyBorder="1" applyAlignment="1">
      <alignment/>
    </xf>
    <xf numFmtId="3" fontId="132" fillId="0" borderId="0" xfId="0" applyNumberFormat="1" applyFont="1" applyFill="1" applyBorder="1" applyAlignment="1" applyProtection="1">
      <alignment/>
      <protection/>
    </xf>
    <xf numFmtId="0" fontId="132" fillId="0" borderId="0" xfId="0" applyFont="1" applyBorder="1" applyAlignment="1">
      <alignment horizontal="center"/>
    </xf>
    <xf numFmtId="4" fontId="135" fillId="36" borderId="16" xfId="0" applyNumberFormat="1" applyFont="1" applyFill="1" applyBorder="1" applyAlignment="1" applyProtection="1">
      <alignment/>
      <protection locked="0"/>
    </xf>
    <xf numFmtId="0" fontId="134" fillId="0" borderId="15" xfId="0" applyFont="1" applyBorder="1" applyAlignment="1">
      <alignment/>
    </xf>
    <xf numFmtId="3" fontId="134" fillId="0" borderId="0" xfId="0" applyNumberFormat="1" applyFont="1" applyBorder="1" applyAlignment="1">
      <alignment/>
    </xf>
    <xf numFmtId="3" fontId="132" fillId="33" borderId="10" xfId="0" applyNumberFormat="1" applyFont="1" applyFill="1" applyBorder="1" applyAlignment="1" applyProtection="1">
      <alignment/>
      <protection/>
    </xf>
    <xf numFmtId="0" fontId="132" fillId="0" borderId="25" xfId="0" applyFont="1" applyBorder="1" applyAlignment="1">
      <alignment/>
    </xf>
    <xf numFmtId="4" fontId="134" fillId="0" borderId="34" xfId="0" applyNumberFormat="1" applyFont="1" applyBorder="1" applyAlignment="1">
      <alignment/>
    </xf>
    <xf numFmtId="3" fontId="135" fillId="0" borderId="0" xfId="0" applyNumberFormat="1" applyFont="1" applyFill="1" applyBorder="1" applyAlignment="1">
      <alignment/>
    </xf>
    <xf numFmtId="4" fontId="133" fillId="0" borderId="32" xfId="0" applyNumberFormat="1" applyFont="1" applyBorder="1" applyAlignment="1">
      <alignment/>
    </xf>
    <xf numFmtId="3" fontId="132" fillId="36" borderId="10" xfId="0" applyNumberFormat="1" applyFont="1" applyFill="1" applyBorder="1" applyAlignment="1" applyProtection="1">
      <alignment/>
      <protection locked="0"/>
    </xf>
    <xf numFmtId="3" fontId="135" fillId="33" borderId="10" xfId="0" applyNumberFormat="1" applyFont="1" applyFill="1" applyBorder="1" applyAlignment="1" quotePrefix="1">
      <alignment/>
    </xf>
    <xf numFmtId="0" fontId="134" fillId="0" borderId="31" xfId="0" applyFont="1" applyBorder="1" applyAlignment="1">
      <alignment/>
    </xf>
    <xf numFmtId="3" fontId="133" fillId="0" borderId="0" xfId="0" applyNumberFormat="1" applyFont="1" applyFill="1" applyBorder="1" applyAlignment="1">
      <alignment/>
    </xf>
    <xf numFmtId="0" fontId="138" fillId="0" borderId="31" xfId="0" applyFont="1" applyBorder="1" applyAlignment="1">
      <alignment/>
    </xf>
    <xf numFmtId="0" fontId="138" fillId="0" borderId="0" xfId="0" applyFont="1" applyBorder="1" applyAlignment="1">
      <alignment/>
    </xf>
    <xf numFmtId="0" fontId="138" fillId="0" borderId="0" xfId="0" applyFont="1" applyBorder="1" applyAlignment="1" quotePrefix="1">
      <alignment/>
    </xf>
    <xf numFmtId="4" fontId="139" fillId="36" borderId="10" xfId="0" applyNumberFormat="1" applyFont="1" applyFill="1" applyBorder="1" applyAlignment="1" applyProtection="1">
      <alignment/>
      <protection locked="0"/>
    </xf>
    <xf numFmtId="3" fontId="138" fillId="0" borderId="0" xfId="0" applyNumberFormat="1" applyFont="1" applyFill="1" applyBorder="1" applyAlignment="1">
      <alignment/>
    </xf>
    <xf numFmtId="4" fontId="138" fillId="0" borderId="32" xfId="0" applyNumberFormat="1" applyFont="1" applyBorder="1" applyAlignment="1">
      <alignment/>
    </xf>
    <xf numFmtId="3" fontId="132" fillId="33" borderId="16" xfId="0" applyNumberFormat="1" applyFont="1" applyFill="1" applyBorder="1" applyAlignment="1">
      <alignment/>
    </xf>
    <xf numFmtId="3" fontId="132" fillId="33" borderId="19" xfId="0" applyNumberFormat="1" applyFont="1" applyFill="1" applyBorder="1" applyAlignment="1">
      <alignment/>
    </xf>
    <xf numFmtId="0" fontId="140" fillId="35" borderId="21" xfId="0" applyFont="1" applyFill="1" applyBorder="1" applyAlignment="1">
      <alignment/>
    </xf>
    <xf numFmtId="0" fontId="141" fillId="35" borderId="22" xfId="0" applyFont="1" applyFill="1" applyBorder="1" applyAlignment="1">
      <alignment horizontal="center"/>
    </xf>
    <xf numFmtId="0" fontId="140" fillId="35" borderId="23" xfId="0" applyFont="1" applyFill="1" applyBorder="1" applyAlignment="1">
      <alignment/>
    </xf>
    <xf numFmtId="0" fontId="140" fillId="35" borderId="35" xfId="0" applyFont="1" applyFill="1" applyBorder="1" applyAlignment="1">
      <alignment/>
    </xf>
    <xf numFmtId="0" fontId="141" fillId="35" borderId="0" xfId="0" applyFont="1" applyFill="1" applyBorder="1" applyAlignment="1">
      <alignment horizontal="center"/>
    </xf>
    <xf numFmtId="0" fontId="140" fillId="35" borderId="11" xfId="0" applyFont="1" applyFill="1" applyBorder="1" applyAlignment="1">
      <alignment/>
    </xf>
    <xf numFmtId="0" fontId="140" fillId="35" borderId="24" xfId="0" applyFont="1" applyFill="1" applyBorder="1" applyAlignment="1">
      <alignment/>
    </xf>
    <xf numFmtId="10" fontId="142" fillId="35" borderId="25" xfId="58" applyNumberFormat="1" applyFont="1" applyFill="1" applyBorder="1" applyAlignment="1">
      <alignment horizontal="center"/>
    </xf>
    <xf numFmtId="0" fontId="140"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2" fillId="33" borderId="0" xfId="0" applyNumberFormat="1" applyFont="1" applyFill="1" applyBorder="1" applyAlignment="1" applyProtection="1">
      <alignment/>
      <protection/>
    </xf>
    <xf numFmtId="4" fontId="139" fillId="36" borderId="0" xfId="0" applyNumberFormat="1" applyFont="1" applyFill="1" applyBorder="1" applyAlignment="1" applyProtection="1">
      <alignment/>
      <protection locked="0"/>
    </xf>
    <xf numFmtId="3" fontId="7" fillId="36" borderId="10" xfId="0" applyNumberFormat="1" applyFont="1" applyFill="1" applyBorder="1" applyAlignment="1" applyProtection="1">
      <alignment/>
      <protection locked="0"/>
    </xf>
    <xf numFmtId="3" fontId="132" fillId="0" borderId="0" xfId="0" applyNumberFormat="1" applyFont="1" applyBorder="1" applyAlignment="1">
      <alignment/>
    </xf>
    <xf numFmtId="0" fontId="131" fillId="0" borderId="0" xfId="0" applyFont="1" applyBorder="1" applyAlignment="1">
      <alignment/>
    </xf>
    <xf numFmtId="3" fontId="135" fillId="0" borderId="0" xfId="0" applyNumberFormat="1" applyFont="1" applyBorder="1" applyAlignment="1">
      <alignment/>
    </xf>
    <xf numFmtId="0" fontId="143" fillId="35" borderId="36" xfId="0" applyFont="1" applyFill="1" applyBorder="1" applyAlignment="1">
      <alignment/>
    </xf>
    <xf numFmtId="0" fontId="144" fillId="35" borderId="22" xfId="0" applyFont="1" applyFill="1" applyBorder="1" applyAlignment="1">
      <alignment/>
    </xf>
    <xf numFmtId="0" fontId="143" fillId="35" borderId="22" xfId="0" applyFont="1" applyFill="1" applyBorder="1" applyAlignment="1">
      <alignment/>
    </xf>
    <xf numFmtId="0" fontId="131" fillId="35" borderId="22" xfId="0" applyFont="1" applyFill="1" applyBorder="1" applyAlignment="1">
      <alignment horizontal="right"/>
    </xf>
    <xf numFmtId="0" fontId="131" fillId="35" borderId="37" xfId="0" applyFont="1" applyFill="1" applyBorder="1" applyAlignment="1">
      <alignment horizontal="right"/>
    </xf>
    <xf numFmtId="0" fontId="143" fillId="35" borderId="31" xfId="0" applyFont="1" applyFill="1" applyBorder="1" applyAlignment="1">
      <alignment/>
    </xf>
    <xf numFmtId="0" fontId="144" fillId="35" borderId="0" xfId="0" applyFont="1" applyFill="1" applyBorder="1" applyAlignment="1">
      <alignment/>
    </xf>
    <xf numFmtId="0" fontId="143" fillId="35" borderId="0" xfId="0" applyFont="1" applyFill="1" applyBorder="1" applyAlignment="1">
      <alignment/>
    </xf>
    <xf numFmtId="3" fontId="145" fillId="35" borderId="0" xfId="0" applyNumberFormat="1" applyFont="1" applyFill="1" applyBorder="1" applyAlignment="1">
      <alignment/>
    </xf>
    <xf numFmtId="4" fontId="145" fillId="35" borderId="32" xfId="0" applyNumberFormat="1" applyFont="1" applyFill="1" applyBorder="1" applyAlignment="1">
      <alignment/>
    </xf>
    <xf numFmtId="0" fontId="144" fillId="35" borderId="38" xfId="0" applyFont="1" applyFill="1" applyBorder="1" applyAlignment="1">
      <alignment/>
    </xf>
    <xf numFmtId="0" fontId="144" fillId="35" borderId="25" xfId="0" applyFont="1" applyFill="1" applyBorder="1" applyAlignment="1">
      <alignment/>
    </xf>
    <xf numFmtId="3" fontId="144" fillId="35" borderId="25" xfId="0" applyNumberFormat="1" applyFont="1" applyFill="1" applyBorder="1" applyAlignment="1">
      <alignment/>
    </xf>
    <xf numFmtId="4" fontId="144"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172" fontId="0" fillId="10" borderId="10" xfId="0" applyNumberFormat="1" applyFill="1" applyBorder="1" applyAlignment="1" applyProtection="1">
      <alignment/>
      <protection locked="0"/>
    </xf>
    <xf numFmtId="1" fontId="0" fillId="10" borderId="10" xfId="0" applyNumberFormat="1" applyFill="1" applyBorder="1" applyAlignment="1" applyProtection="1">
      <alignment horizontal="right"/>
      <protection locked="0"/>
    </xf>
    <xf numFmtId="1" fontId="0" fillId="0" borderId="0" xfId="0" applyNumberFormat="1" applyFont="1" applyAlignment="1" applyProtection="1">
      <alignment/>
      <protection/>
    </xf>
    <xf numFmtId="3" fontId="135"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29"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3" fontId="1" fillId="0" borderId="0" xfId="0" applyNumberFormat="1" applyFont="1" applyAlignment="1">
      <alignment/>
    </xf>
    <xf numFmtId="14" fontId="2" fillId="0" borderId="0" xfId="0" applyNumberFormat="1" applyFont="1" applyAlignment="1">
      <alignment horizontal="left"/>
    </xf>
    <xf numFmtId="0" fontId="146" fillId="0" borderId="0" xfId="0" applyFont="1" applyAlignment="1">
      <alignment/>
    </xf>
    <xf numFmtId="0" fontId="146" fillId="0" borderId="0" xfId="0" applyFont="1" applyAlignment="1">
      <alignment horizontal="center"/>
    </xf>
    <xf numFmtId="0" fontId="147" fillId="0" borderId="0" xfId="0" applyFont="1" applyAlignment="1">
      <alignment/>
    </xf>
    <xf numFmtId="0" fontId="148" fillId="0" borderId="0" xfId="0" applyFont="1" applyAlignment="1">
      <alignment/>
    </xf>
    <xf numFmtId="0" fontId="15" fillId="0" borderId="0" xfId="0" applyFont="1" applyAlignment="1">
      <alignment/>
    </xf>
    <xf numFmtId="0" fontId="149" fillId="0" borderId="0" xfId="0" applyFont="1" applyAlignment="1">
      <alignment/>
    </xf>
    <xf numFmtId="189" fontId="7" fillId="0" borderId="0" xfId="0" applyNumberFormat="1" applyFont="1" applyBorder="1" applyAlignment="1" applyProtection="1">
      <alignment horizontal="right"/>
      <protection locked="0"/>
    </xf>
    <xf numFmtId="0" fontId="150" fillId="0" borderId="0" xfId="0" applyFont="1" applyAlignment="1">
      <alignment horizontal="left"/>
    </xf>
    <xf numFmtId="14" fontId="151" fillId="0" borderId="0" xfId="0" applyNumberFormat="1" applyFont="1" applyAlignment="1">
      <alignment horizontal="left"/>
    </xf>
    <xf numFmtId="0" fontId="30"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190" fontId="7" fillId="2" borderId="0" xfId="0" applyNumberFormat="1" applyFont="1" applyFill="1" applyBorder="1" applyAlignment="1">
      <alignment horizontal="center"/>
    </xf>
    <xf numFmtId="0" fontId="31" fillId="2" borderId="0" xfId="0" applyFont="1" applyFill="1" applyAlignment="1">
      <alignment/>
    </xf>
    <xf numFmtId="0" fontId="32" fillId="0" borderId="0" xfId="0" applyFont="1" applyAlignment="1" applyProtection="1">
      <alignment horizontal="center"/>
      <protection/>
    </xf>
    <xf numFmtId="0" fontId="33" fillId="0" borderId="0" xfId="0" applyFont="1" applyAlignment="1" applyProtection="1">
      <alignment horizontal="left"/>
      <protection/>
    </xf>
    <xf numFmtId="0" fontId="33" fillId="0" borderId="0" xfId="50" applyFont="1" applyAlignment="1" applyProtection="1">
      <alignment horizontal="center"/>
      <protection/>
    </xf>
    <xf numFmtId="191" fontId="2" fillId="0" borderId="0" xfId="50" applyNumberFormat="1" applyFont="1" applyFill="1" applyBorder="1" applyAlignment="1" applyProtection="1">
      <alignment horizontal="left" vertical="center"/>
      <protection/>
    </xf>
    <xf numFmtId="0" fontId="30" fillId="0" borderId="0" xfId="49" applyFont="1">
      <alignment/>
      <protection/>
    </xf>
    <xf numFmtId="0" fontId="32" fillId="0" borderId="11" xfId="0" applyFont="1" applyBorder="1" applyAlignment="1" applyProtection="1">
      <alignment horizontal="center"/>
      <protection/>
    </xf>
    <xf numFmtId="0" fontId="16" fillId="2" borderId="25" xfId="0" applyFont="1" applyFill="1" applyBorder="1" applyAlignment="1">
      <alignment/>
    </xf>
    <xf numFmtId="0" fontId="16" fillId="2" borderId="25" xfId="0" applyFont="1" applyFill="1" applyBorder="1" applyAlignment="1">
      <alignment horizontal="center"/>
    </xf>
    <xf numFmtId="0" fontId="31" fillId="2" borderId="25" xfId="0" applyFont="1" applyFill="1" applyBorder="1" applyAlignment="1">
      <alignment/>
    </xf>
    <xf numFmtId="0" fontId="16" fillId="0" borderId="0" xfId="0" applyFont="1" applyAlignment="1">
      <alignment horizontal="center"/>
    </xf>
    <xf numFmtId="0" fontId="33" fillId="0" borderId="0" xfId="0" applyFont="1" applyAlignment="1">
      <alignment/>
    </xf>
    <xf numFmtId="191" fontId="2" fillId="0" borderId="0" xfId="50" applyNumberFormat="1" applyFont="1" applyFill="1" applyBorder="1" applyAlignment="1">
      <alignment horizontal="left" vertical="center"/>
      <protection/>
    </xf>
    <xf numFmtId="0" fontId="32" fillId="0" borderId="26" xfId="0" applyFont="1" applyBorder="1" applyAlignment="1" applyProtection="1">
      <alignment horizontal="center"/>
      <protection/>
    </xf>
    <xf numFmtId="0" fontId="7" fillId="2" borderId="0" xfId="0" applyFont="1" applyFill="1" applyAlignment="1">
      <alignment horizontal="center"/>
    </xf>
    <xf numFmtId="189" fontId="7" fillId="2" borderId="0" xfId="0" applyNumberFormat="1" applyFont="1" applyFill="1" applyBorder="1" applyAlignment="1">
      <alignment horizontal="center"/>
    </xf>
    <xf numFmtId="0" fontId="31" fillId="2" borderId="0" xfId="0" applyFont="1" applyFill="1" applyAlignment="1">
      <alignment horizontal="center"/>
    </xf>
    <xf numFmtId="0" fontId="16" fillId="0" borderId="0" xfId="0" applyFont="1" applyAlignment="1">
      <alignment/>
    </xf>
    <xf numFmtId="0" fontId="33" fillId="0" borderId="0" xfId="50" applyFont="1" applyAlignment="1">
      <alignment horizontal="center"/>
      <protection/>
    </xf>
    <xf numFmtId="0" fontId="30" fillId="0" borderId="0" xfId="49" applyFont="1" applyAlignment="1">
      <alignment horizontal="left"/>
      <protection/>
    </xf>
    <xf numFmtId="0" fontId="29" fillId="0" borderId="11" xfId="0" applyFont="1" applyBorder="1" applyAlignment="1">
      <alignment/>
    </xf>
    <xf numFmtId="0" fontId="16" fillId="0" borderId="0" xfId="50" applyFont="1" applyAlignment="1">
      <alignment horizontal="center"/>
      <protection/>
    </xf>
    <xf numFmtId="0" fontId="30" fillId="0" borderId="0" xfId="0" applyFont="1" applyAlignment="1">
      <alignment/>
    </xf>
    <xf numFmtId="0" fontId="32"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30" fillId="0" borderId="0" xfId="0" applyNumberFormat="1" applyFont="1" applyAlignment="1">
      <alignment/>
    </xf>
    <xf numFmtId="0" fontId="32" fillId="0" borderId="11" xfId="0" applyFont="1" applyBorder="1" applyAlignment="1">
      <alignment/>
    </xf>
    <xf numFmtId="0" fontId="152" fillId="0" borderId="0" xfId="0" applyFont="1" applyBorder="1" applyAlignment="1" applyProtection="1">
      <alignment horizontal="left"/>
      <protection/>
    </xf>
    <xf numFmtId="3" fontId="152" fillId="0" borderId="0" xfId="0" applyNumberFormat="1" applyFont="1" applyBorder="1" applyAlignment="1" applyProtection="1">
      <alignment horizontal="right"/>
      <protection/>
    </xf>
    <xf numFmtId="4" fontId="152" fillId="0" borderId="0" xfId="0" applyNumberFormat="1" applyFont="1" applyBorder="1" applyAlignment="1" applyProtection="1">
      <alignment horizontal="center"/>
      <protection/>
    </xf>
    <xf numFmtId="190" fontId="152" fillId="0" borderId="0" xfId="0" applyNumberFormat="1" applyFont="1" applyBorder="1" applyAlignment="1" applyProtection="1">
      <alignment/>
      <protection/>
    </xf>
    <xf numFmtId="190" fontId="153" fillId="0" borderId="0" xfId="0" applyNumberFormat="1" applyFont="1" applyBorder="1" applyAlignment="1" applyProtection="1">
      <alignment horizontal="right"/>
      <protection locked="0"/>
    </xf>
    <xf numFmtId="3" fontId="153" fillId="0" borderId="0" xfId="0" applyNumberFormat="1" applyFont="1" applyBorder="1" applyAlignment="1" applyProtection="1">
      <alignment horizontal="right"/>
      <protection/>
    </xf>
    <xf numFmtId="4" fontId="152" fillId="0" borderId="0" xfId="0" applyNumberFormat="1" applyFont="1" applyAlignment="1" applyProtection="1">
      <alignment horizontal="left"/>
      <protection/>
    </xf>
    <xf numFmtId="0" fontId="152" fillId="0" borderId="0" xfId="0" applyFont="1" applyAlignment="1" applyProtection="1">
      <alignment horizontal="left"/>
      <protection/>
    </xf>
    <xf numFmtId="0" fontId="152" fillId="0" borderId="0" xfId="50" applyFont="1">
      <alignment/>
      <protection/>
    </xf>
    <xf numFmtId="0" fontId="154" fillId="0" borderId="0" xfId="0" applyFont="1" applyAlignment="1">
      <alignment/>
    </xf>
    <xf numFmtId="0" fontId="155" fillId="0" borderId="0" xfId="0" applyFont="1" applyAlignment="1">
      <alignment/>
    </xf>
    <xf numFmtId="2" fontId="152" fillId="0" borderId="0" xfId="0" applyNumberFormat="1" applyFont="1" applyAlignment="1" applyProtection="1">
      <alignment horizontal="center"/>
      <protection/>
    </xf>
    <xf numFmtId="3" fontId="155" fillId="0" borderId="0" xfId="0" applyNumberFormat="1" applyFont="1" applyAlignment="1" applyProtection="1">
      <alignment/>
      <protection/>
    </xf>
    <xf numFmtId="0" fontId="156" fillId="0" borderId="0" xfId="0" applyFont="1" applyBorder="1" applyAlignment="1" applyProtection="1">
      <alignment horizontal="left"/>
      <protection/>
    </xf>
    <xf numFmtId="3" fontId="157" fillId="0" borderId="0" xfId="0" applyNumberFormat="1" applyFont="1" applyBorder="1" applyAlignment="1" applyProtection="1">
      <alignment horizontal="right"/>
      <protection/>
    </xf>
    <xf numFmtId="3" fontId="156" fillId="0" borderId="0" xfId="0" applyNumberFormat="1" applyFont="1" applyBorder="1" applyAlignment="1" applyProtection="1">
      <alignment horizontal="right"/>
      <protection/>
    </xf>
    <xf numFmtId="4" fontId="156" fillId="0" borderId="0" xfId="0" applyNumberFormat="1" applyFont="1" applyBorder="1" applyAlignment="1" applyProtection="1">
      <alignment horizontal="center"/>
      <protection/>
    </xf>
    <xf numFmtId="190" fontId="156" fillId="0" borderId="0" xfId="0" applyNumberFormat="1" applyFont="1" applyBorder="1" applyAlignment="1" applyProtection="1">
      <alignment/>
      <protection/>
    </xf>
    <xf numFmtId="190" fontId="158" fillId="0" borderId="0" xfId="0" applyNumberFormat="1" applyFont="1" applyBorder="1" applyAlignment="1" applyProtection="1">
      <alignment horizontal="right"/>
      <protection locked="0"/>
    </xf>
    <xf numFmtId="3" fontId="158" fillId="0" borderId="0" xfId="0" applyNumberFormat="1" applyFont="1" applyBorder="1" applyAlignment="1" applyProtection="1">
      <alignment horizontal="right"/>
      <protection/>
    </xf>
    <xf numFmtId="4" fontId="156" fillId="0" borderId="0" xfId="0" applyNumberFormat="1" applyFont="1" applyAlignment="1" applyProtection="1">
      <alignment horizontal="left"/>
      <protection/>
    </xf>
    <xf numFmtId="0" fontId="156" fillId="0" borderId="0" xfId="0" applyFont="1" applyAlignment="1" applyProtection="1">
      <alignment horizontal="left"/>
      <protection/>
    </xf>
    <xf numFmtId="0" fontId="156" fillId="0" borderId="0" xfId="50" applyFont="1">
      <alignment/>
      <protection/>
    </xf>
    <xf numFmtId="0" fontId="159" fillId="0" borderId="0" xfId="0" applyFont="1" applyAlignment="1">
      <alignment/>
    </xf>
    <xf numFmtId="0" fontId="160" fillId="0" borderId="0" xfId="0" applyFont="1" applyAlignment="1">
      <alignment/>
    </xf>
    <xf numFmtId="2" fontId="156" fillId="0" borderId="0" xfId="0" applyNumberFormat="1" applyFont="1" applyAlignment="1" applyProtection="1">
      <alignment horizontal="center"/>
      <protection/>
    </xf>
    <xf numFmtId="3" fontId="160" fillId="0" borderId="0" xfId="0" applyNumberFormat="1" applyFont="1" applyAlignment="1" applyProtection="1">
      <alignment/>
      <protection/>
    </xf>
    <xf numFmtId="0" fontId="161" fillId="0" borderId="0" xfId="0" applyFont="1" applyBorder="1" applyAlignment="1" applyProtection="1">
      <alignment horizontal="left"/>
      <protection/>
    </xf>
    <xf numFmtId="3" fontId="161" fillId="0" borderId="0" xfId="0" applyNumberFormat="1" applyFont="1" applyBorder="1" applyAlignment="1" applyProtection="1">
      <alignment horizontal="right"/>
      <protection/>
    </xf>
    <xf numFmtId="4" fontId="161" fillId="0" borderId="0" xfId="0" applyNumberFormat="1" applyFont="1" applyBorder="1" applyAlignment="1" applyProtection="1">
      <alignment horizontal="center"/>
      <protection/>
    </xf>
    <xf numFmtId="190" fontId="161" fillId="0" borderId="0" xfId="0" applyNumberFormat="1" applyFont="1" applyBorder="1" applyAlignment="1" applyProtection="1">
      <alignment/>
      <protection/>
    </xf>
    <xf numFmtId="190" fontId="162" fillId="0" borderId="0" xfId="0" applyNumberFormat="1" applyFont="1" applyBorder="1" applyAlignment="1" applyProtection="1">
      <alignment horizontal="right"/>
      <protection locked="0"/>
    </xf>
    <xf numFmtId="4" fontId="16" fillId="0" borderId="0" xfId="0" applyNumberFormat="1" applyFont="1" applyAlignment="1" applyProtection="1">
      <alignment horizontal="left"/>
      <protection/>
    </xf>
    <xf numFmtId="0" fontId="16" fillId="0" borderId="0" xfId="0" applyFont="1" applyAlignment="1" applyProtection="1">
      <alignment horizontal="left"/>
      <protection/>
    </xf>
    <xf numFmtId="0" fontId="16" fillId="0" borderId="0" xfId="50" applyFont="1">
      <alignment/>
      <protection/>
    </xf>
    <xf numFmtId="2" fontId="163" fillId="0" borderId="0" xfId="0" applyNumberFormat="1" applyFont="1" applyAlignment="1" applyProtection="1">
      <alignment horizontal="center"/>
      <protection/>
    </xf>
    <xf numFmtId="3" fontId="32" fillId="0" borderId="0" xfId="0" applyNumberFormat="1" applyFont="1" applyAlignment="1" applyProtection="1">
      <alignment/>
      <protection/>
    </xf>
    <xf numFmtId="0" fontId="22" fillId="0" borderId="0" xfId="0" applyFont="1" applyBorder="1" applyAlignment="1" applyProtection="1">
      <alignment horizontal="left"/>
      <protection/>
    </xf>
    <xf numFmtId="3" fontId="7" fillId="0" borderId="0" xfId="0" applyNumberFormat="1" applyFont="1" applyBorder="1" applyAlignment="1" applyProtection="1">
      <alignment horizontal="right"/>
      <protection locked="0"/>
    </xf>
    <xf numFmtId="3" fontId="7" fillId="0" borderId="0" xfId="0" applyNumberFormat="1" applyFont="1" applyBorder="1" applyAlignment="1" applyProtection="1">
      <alignment horizontal="center"/>
      <protection locked="0"/>
    </xf>
    <xf numFmtId="190" fontId="7" fillId="0" borderId="0" xfId="0" applyNumberFormat="1" applyFont="1" applyBorder="1" applyAlignment="1" applyProtection="1">
      <alignment horizontal="right"/>
      <protection locked="0"/>
    </xf>
    <xf numFmtId="190" fontId="22" fillId="0" borderId="0" xfId="0" applyNumberFormat="1" applyFont="1" applyBorder="1" applyAlignment="1" applyProtection="1">
      <alignment horizontal="right"/>
      <protection locked="0"/>
    </xf>
    <xf numFmtId="0" fontId="35" fillId="0" borderId="0" xfId="0" applyFont="1" applyAlignment="1" applyProtection="1">
      <alignment/>
      <protection/>
    </xf>
    <xf numFmtId="191" fontId="36" fillId="0" borderId="0" xfId="0" applyNumberFormat="1" applyFont="1" applyFill="1" applyBorder="1" applyAlignment="1" applyProtection="1">
      <alignment vertical="center"/>
      <protection/>
    </xf>
    <xf numFmtId="191" fontId="7" fillId="0" borderId="0" xfId="50" applyNumberFormat="1" applyFont="1" applyFill="1" applyBorder="1" applyAlignment="1">
      <alignment horizontal="left" vertical="center"/>
      <protection/>
    </xf>
    <xf numFmtId="0" fontId="140" fillId="0" borderId="0" xfId="0" applyFont="1" applyAlignment="1">
      <alignment horizontal="center"/>
    </xf>
    <xf numFmtId="0" fontId="7" fillId="0" borderId="0" xfId="0" applyFont="1" applyAlignment="1" applyProtection="1">
      <alignment horizontal="left"/>
      <protection/>
    </xf>
    <xf numFmtId="3" fontId="163" fillId="0" borderId="0" xfId="47" applyNumberFormat="1" applyFont="1" applyAlignment="1" applyProtection="1">
      <alignment horizontal="right"/>
      <protection locked="0"/>
    </xf>
    <xf numFmtId="3" fontId="16" fillId="0" borderId="0" xfId="0" applyNumberFormat="1" applyFont="1" applyBorder="1" applyAlignment="1" applyProtection="1">
      <alignment/>
      <protection/>
    </xf>
    <xf numFmtId="3" fontId="16" fillId="0" borderId="0" xfId="0" applyNumberFormat="1" applyFont="1" applyBorder="1" applyAlignment="1" applyProtection="1">
      <alignment horizontal="center"/>
      <protection/>
    </xf>
    <xf numFmtId="0" fontId="7" fillId="0" borderId="0" xfId="0" applyFont="1" applyAlignment="1" applyProtection="1">
      <alignment/>
      <protection/>
    </xf>
    <xf numFmtId="0" fontId="33" fillId="0" borderId="0" xfId="50" applyFont="1" applyBorder="1" applyAlignment="1">
      <alignment horizontal="right"/>
      <protection/>
    </xf>
    <xf numFmtId="49" fontId="2" fillId="0" borderId="0" xfId="48" applyNumberFormat="1" applyFont="1" applyFill="1" applyBorder="1" applyAlignment="1" applyProtection="1">
      <alignment horizontal="center"/>
      <protection locked="0"/>
    </xf>
    <xf numFmtId="0" fontId="164" fillId="0" borderId="0" xfId="0" applyFont="1" applyAlignment="1" applyProtection="1">
      <alignment horizontal="left"/>
      <protection/>
    </xf>
    <xf numFmtId="192" fontId="163" fillId="0" borderId="0" xfId="0" applyNumberFormat="1" applyFont="1" applyAlignment="1">
      <alignment horizontal="center"/>
    </xf>
    <xf numFmtId="3" fontId="30" fillId="0" borderId="0" xfId="0" applyNumberFormat="1" applyFont="1" applyBorder="1" applyAlignment="1">
      <alignment/>
    </xf>
    <xf numFmtId="3" fontId="30" fillId="0" borderId="0" xfId="58" applyNumberFormat="1" applyFont="1" applyAlignment="1">
      <alignment/>
    </xf>
    <xf numFmtId="192" fontId="0" fillId="0" borderId="0" xfId="0" applyNumberFormat="1" applyAlignment="1">
      <alignment/>
    </xf>
    <xf numFmtId="0" fontId="16" fillId="0" borderId="0" xfId="0" applyFont="1" applyAlignment="1" applyProtection="1">
      <alignment/>
      <protection/>
    </xf>
    <xf numFmtId="191" fontId="33" fillId="0" borderId="0" xfId="0" applyNumberFormat="1" applyFont="1" applyFill="1" applyBorder="1" applyAlignment="1" applyProtection="1">
      <alignment vertical="center"/>
      <protection/>
    </xf>
    <xf numFmtId="0" fontId="37" fillId="0" borderId="0" xfId="0" applyFont="1" applyAlignment="1">
      <alignment/>
    </xf>
    <xf numFmtId="168" fontId="2" fillId="0" borderId="0" xfId="0" applyNumberFormat="1" applyFont="1" applyAlignment="1">
      <alignment/>
    </xf>
    <xf numFmtId="0" fontId="31" fillId="2" borderId="0" xfId="0" applyFont="1" applyFill="1" applyBorder="1" applyAlignment="1">
      <alignment/>
    </xf>
    <xf numFmtId="0" fontId="165" fillId="0" borderId="25" xfId="49" applyFont="1" applyBorder="1" applyAlignment="1">
      <alignment horizontal="left"/>
      <protection/>
    </xf>
    <xf numFmtId="0" fontId="165" fillId="0" borderId="25" xfId="0" applyFont="1" applyBorder="1" applyAlignment="1">
      <alignment/>
    </xf>
    <xf numFmtId="0" fontId="163" fillId="2" borderId="0" xfId="0" applyFont="1" applyFill="1" applyAlignment="1">
      <alignment horizontal="center"/>
    </xf>
    <xf numFmtId="1" fontId="2" fillId="0" borderId="0" xfId="0" applyNumberFormat="1" applyFont="1" applyBorder="1" applyAlignment="1">
      <alignment/>
    </xf>
    <xf numFmtId="180" fontId="2" fillId="0" borderId="0" xfId="0" applyNumberFormat="1" applyFont="1" applyBorder="1" applyAlignment="1">
      <alignment/>
    </xf>
    <xf numFmtId="190" fontId="31" fillId="0" borderId="0" xfId="0" applyNumberFormat="1" applyFont="1" applyBorder="1" applyAlignment="1" applyProtection="1">
      <alignment/>
      <protection/>
    </xf>
    <xf numFmtId="1" fontId="93" fillId="0" borderId="0" xfId="0" applyNumberFormat="1" applyFont="1" applyAlignment="1" applyProtection="1">
      <alignment/>
      <protection/>
    </xf>
    <xf numFmtId="3" fontId="93" fillId="0" borderId="0" xfId="0" applyNumberFormat="1" applyFont="1" applyAlignment="1" applyProtection="1">
      <alignment horizontal="center"/>
      <protection/>
    </xf>
    <xf numFmtId="193" fontId="40" fillId="0" borderId="10" xfId="0" applyNumberFormat="1" applyFont="1" applyBorder="1" applyAlignment="1">
      <alignment horizontal="right"/>
    </xf>
    <xf numFmtId="0" fontId="0" fillId="0" borderId="10" xfId="0" applyBorder="1" applyAlignment="1">
      <alignment/>
    </xf>
    <xf numFmtId="193" fontId="0" fillId="0" borderId="0" xfId="0" applyNumberFormat="1" applyAlignment="1">
      <alignment/>
    </xf>
    <xf numFmtId="193" fontId="40" fillId="0" borderId="0" xfId="0" applyNumberFormat="1" applyFont="1" applyBorder="1" applyAlignment="1">
      <alignment horizontal="right"/>
    </xf>
    <xf numFmtId="1" fontId="93" fillId="0" borderId="0" xfId="0" applyNumberFormat="1" applyFont="1" applyBorder="1" applyAlignment="1" applyProtection="1">
      <alignment/>
      <protection/>
    </xf>
    <xf numFmtId="3" fontId="93" fillId="0" borderId="0" xfId="0" applyNumberFormat="1" applyFont="1" applyBorder="1" applyAlignment="1" applyProtection="1">
      <alignment horizontal="center"/>
      <protection/>
    </xf>
    <xf numFmtId="1" fontId="93" fillId="0" borderId="15" xfId="0" applyNumberFormat="1" applyFont="1" applyBorder="1" applyAlignment="1" applyProtection="1">
      <alignment/>
      <protection/>
    </xf>
    <xf numFmtId="3" fontId="93" fillId="0" borderId="15" xfId="0" applyNumberFormat="1" applyFont="1" applyBorder="1" applyAlignment="1" applyProtection="1">
      <alignment horizontal="center"/>
      <protection/>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66" fillId="34" borderId="12" xfId="0" applyFont="1" applyFill="1" applyBorder="1" applyAlignment="1">
      <alignment horizontal="center"/>
    </xf>
    <xf numFmtId="0" fontId="166" fillId="34" borderId="13" xfId="0" applyFont="1" applyFill="1" applyBorder="1" applyAlignment="1">
      <alignment horizontal="center"/>
    </xf>
    <xf numFmtId="0" fontId="166" fillId="34" borderId="39" xfId="0" applyFont="1" applyFill="1" applyBorder="1" applyAlignment="1">
      <alignment horizontal="center"/>
    </xf>
    <xf numFmtId="0" fontId="167"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104775</xdr:colOff>
      <xdr:row>105</xdr:row>
      <xdr:rowOff>76200</xdr:rowOff>
    </xdr:to>
    <xdr:sp>
      <xdr:nvSpPr>
        <xdr:cNvPr id="1" name="Tekstiruutu 2"/>
        <xdr:cNvSpPr txBox="1">
          <a:spLocks noChangeArrowheads="1"/>
        </xdr:cNvSpPr>
      </xdr:nvSpPr>
      <xdr:spPr>
        <a:xfrm>
          <a:off x="38100" y="9525"/>
          <a:ext cx="7162800" cy="1706880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11.9.2019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Järjestelmämuutoksen tasaus 2015
</a:t>
          </a:r>
          <a:r>
            <a:rPr lang="en-US" cap="none" sz="1200" b="1" i="0" u="none" baseline="0">
              <a:solidFill>
                <a:srgbClr val="008000"/>
              </a:solidFill>
              <a:latin typeface="Calibri"/>
              <a:ea typeface="Calibri"/>
              <a:cs typeface="Calibri"/>
            </a:rPr>
            <a:t>8. Kotikuntakorvaukset </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9. Opetus ja kulttuurin, muu vos 
</a:t>
          </a:r>
          <a:r>
            <a:rPr lang="en-US" cap="none" sz="1200" b="1" i="0" u="none" baseline="0">
              <a:solidFill>
                <a:srgbClr val="0066CC"/>
              </a:solidFill>
              <a:latin typeface="Calibri"/>
              <a:ea typeface="Calibri"/>
              <a:cs typeface="Calibri"/>
            </a:rPr>
            <a:t>10.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8</xdr:row>
      <xdr:rowOff>133350</xdr:rowOff>
    </xdr:from>
    <xdr:ext cx="5991225" cy="1704975"/>
    <xdr:sp>
      <xdr:nvSpPr>
        <xdr:cNvPr id="1" name="Tekstiruutu 1"/>
        <xdr:cNvSpPr txBox="1">
          <a:spLocks noChangeArrowheads="1"/>
        </xdr:cNvSpPr>
      </xdr:nvSpPr>
      <xdr:spPr>
        <a:xfrm>
          <a:off x="66675" y="1466850"/>
          <a:ext cx="5991225" cy="1704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xdr:row>
      <xdr:rowOff>152400</xdr:rowOff>
    </xdr:from>
    <xdr:ext cx="5600700" cy="2667000"/>
    <xdr:sp>
      <xdr:nvSpPr>
        <xdr:cNvPr id="1" name="Suorakulmio 1"/>
        <xdr:cNvSpPr>
          <a:spLocks/>
        </xdr:cNvSpPr>
      </xdr:nvSpPr>
      <xdr:spPr>
        <a:xfrm>
          <a:off x="1943100" y="800100"/>
          <a:ext cx="5600700" cy="2667000"/>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HUOM!
</a:t>
          </a:r>
          <a:r>
            <a:rPr lang="en-US" cap="none" sz="5400" b="1" i="0" u="none" baseline="0">
              <a:solidFill>
                <a:srgbClr val="FFFFFF"/>
              </a:solidFill>
            </a:rPr>
            <a:t>TÄTÄ</a:t>
          </a:r>
          <a:r>
            <a:rPr lang="en-US" cap="none" sz="5400" b="1" i="0" u="none" baseline="0">
              <a:solidFill>
                <a:srgbClr val="FFFFFF"/>
              </a:solidFill>
            </a:rPr>
            <a:t> VÄLILEHTEÄ
</a:t>
          </a:r>
          <a:r>
            <a:rPr lang="en-US" cap="none" sz="5400" b="1" i="0" u="none" baseline="0">
              <a:solidFill>
                <a:srgbClr val="FFFFFF"/>
              </a:solidFill>
            </a:rPr>
            <a:t>EI OLE PÄIVITETTY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600075</xdr:colOff>
      <xdr:row>3</xdr:row>
      <xdr:rowOff>38100</xdr:rowOff>
    </xdr:from>
    <xdr:ext cx="5667375" cy="2676525"/>
    <xdr:sp>
      <xdr:nvSpPr>
        <xdr:cNvPr id="1" name="Suorakulmio 1"/>
        <xdr:cNvSpPr>
          <a:spLocks/>
        </xdr:cNvSpPr>
      </xdr:nvSpPr>
      <xdr:spPr>
        <a:xfrm>
          <a:off x="1323975" y="628650"/>
          <a:ext cx="5667375" cy="2676525"/>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HUOM!
</a:t>
          </a:r>
          <a:r>
            <a:rPr lang="en-US" cap="none" sz="5400" b="1" i="0" u="none" baseline="0">
              <a:solidFill>
                <a:srgbClr val="FFFFFF"/>
              </a:solidFill>
            </a:rPr>
            <a:t>TÄTÄ</a:t>
          </a:r>
          <a:r>
            <a:rPr lang="en-US" cap="none" sz="5400" b="1" i="0" u="none" baseline="0">
              <a:solidFill>
                <a:srgbClr val="FFFFFF"/>
              </a:solidFill>
            </a:rPr>
            <a:t> VÄLILEHTEÄ
</a:t>
          </a:r>
          <a:r>
            <a:rPr lang="en-US" cap="none" sz="5400" b="1" i="0" u="none" baseline="0">
              <a:solidFill>
                <a:srgbClr val="FFFFFF"/>
              </a:solidFill>
            </a:rPr>
            <a:t>EI OLE PÄIVITETTY</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447675</xdr:colOff>
      <xdr:row>4</xdr:row>
      <xdr:rowOff>95250</xdr:rowOff>
    </xdr:from>
    <xdr:ext cx="5667375" cy="2657475"/>
    <xdr:sp>
      <xdr:nvSpPr>
        <xdr:cNvPr id="1" name="Suorakulmio 1"/>
        <xdr:cNvSpPr>
          <a:spLocks/>
        </xdr:cNvSpPr>
      </xdr:nvSpPr>
      <xdr:spPr>
        <a:xfrm>
          <a:off x="1247775" y="876300"/>
          <a:ext cx="5667375" cy="2657475"/>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HUOM!
</a:t>
          </a:r>
          <a:r>
            <a:rPr lang="en-US" cap="none" sz="5400" b="1" i="0" u="none" baseline="0">
              <a:solidFill>
                <a:srgbClr val="FFFFFF"/>
              </a:solidFill>
            </a:rPr>
            <a:t>TÄTÄ</a:t>
          </a:r>
          <a:r>
            <a:rPr lang="en-US" cap="none" sz="5400" b="1" i="0" u="none" baseline="0">
              <a:solidFill>
                <a:srgbClr val="FFFFFF"/>
              </a:solidFill>
            </a:rPr>
            <a:t> VÄLILEHTEÄ
</a:t>
          </a:r>
          <a:r>
            <a:rPr lang="en-US" cap="none" sz="5400" b="1" i="0" u="none" baseline="0">
              <a:solidFill>
                <a:srgbClr val="FFFFFF"/>
              </a:solidFill>
            </a:rPr>
            <a:t>EI OLE PÄIVITETTY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vos.oph.fi/cgi-bin/tiedot1r.cgi?tnimi=vos/v18/v06yt7s18.lis" TargetMode="External" /><Relationship Id="rId2" Type="http://schemas.openxmlformats.org/officeDocument/2006/relationships/hyperlink" Target="http://www02.oph.fi/asiakkaat/rahoitus/rahjulk18/04_LUKIOKOULUTUS.pdf" TargetMode="External" /><Relationship Id="rId3" Type="http://schemas.openxmlformats.org/officeDocument/2006/relationships/hyperlink" Target="https://vos.oph.fi/rap/vos/v18/v06yk6s18.html" TargetMode="External" /><Relationship Id="rId4" Type="http://schemas.openxmlformats.org/officeDocument/2006/relationships/drawing" Target="../drawings/drawing5.x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Q298"/>
  <sheetViews>
    <sheetView zoomScalePageLayoutView="0" workbookViewId="0" topLeftCell="A1">
      <pane ySplit="1" topLeftCell="A2" activePane="bottomLeft" state="frozen"/>
      <selection pane="topLeft" activeCell="A1" sqref="A1"/>
      <selection pane="bottomLeft" activeCell="D6" sqref="D6"/>
    </sheetView>
  </sheetViews>
  <sheetFormatPr defaultColWidth="6.00390625" defaultRowHeight="12.75"/>
  <cols>
    <col min="1" max="1" width="7.00390625" style="175" bestFit="1" customWidth="1"/>
    <col min="2" max="2" width="13.421875" style="175" bestFit="1" customWidth="1"/>
    <col min="3" max="3" width="7.8515625" style="175" bestFit="1" customWidth="1"/>
    <col min="4" max="4" width="11.8515625" style="175" bestFit="1" customWidth="1"/>
    <col min="5" max="6" width="10.8515625" style="175" bestFit="1" customWidth="1"/>
    <col min="7" max="7" width="11.8515625" style="175" bestFit="1" customWidth="1"/>
    <col min="8" max="8" width="7.8515625" style="175" bestFit="1" customWidth="1"/>
    <col min="9" max="9" width="11.8515625" style="175" bestFit="1" customWidth="1"/>
    <col min="10" max="10" width="10.8515625" style="175" bestFit="1" customWidth="1"/>
    <col min="11" max="11" width="10.57421875" style="175" bestFit="1" customWidth="1"/>
    <col min="12" max="13" width="11.28125" style="175" bestFit="1" customWidth="1"/>
    <col min="14" max="14" width="10.8515625" style="175" bestFit="1" customWidth="1"/>
    <col min="15" max="16" width="11.28125" style="175" bestFit="1" customWidth="1"/>
    <col min="17" max="28" width="7.8515625" style="175" bestFit="1" customWidth="1"/>
    <col min="29" max="29" width="8.140625" style="175" bestFit="1" customWidth="1"/>
    <col min="30" max="30" width="7.8515625" style="175" bestFit="1" customWidth="1"/>
    <col min="31" max="31" width="7.8515625" style="175" customWidth="1"/>
    <col min="32" max="35" width="7.7109375" style="175" customWidth="1"/>
    <col min="36" max="37" width="7.8515625" style="175" bestFit="1" customWidth="1"/>
    <col min="38" max="38" width="10.57421875" style="175" bestFit="1" customWidth="1"/>
    <col min="39" max="39" width="7.8515625" style="175" bestFit="1" customWidth="1"/>
    <col min="40" max="41" width="10.57421875" style="175" bestFit="1" customWidth="1"/>
    <col min="42" max="44" width="7.8515625" style="175" bestFit="1" customWidth="1"/>
    <col min="45" max="45" width="8.28125" style="175" bestFit="1" customWidth="1"/>
    <col min="46" max="46" width="8.140625" style="175" customWidth="1"/>
    <col min="47" max="47" width="8.28125" style="175" bestFit="1" customWidth="1"/>
    <col min="48" max="49" width="10.57421875" style="175" bestFit="1" customWidth="1"/>
    <col min="50" max="51" width="8.28125" style="175" bestFit="1" customWidth="1"/>
    <col min="52" max="54" width="10.57421875" style="175" bestFit="1" customWidth="1"/>
    <col min="55" max="56" width="7.8515625" style="175" bestFit="1" customWidth="1"/>
    <col min="57" max="58" width="10.57421875" style="175" bestFit="1" customWidth="1"/>
    <col min="59" max="60" width="7.8515625" style="175" bestFit="1" customWidth="1"/>
    <col min="61" max="64" width="9.57421875" style="175" bestFit="1" customWidth="1"/>
    <col min="65" max="65" width="10.421875" style="175" bestFit="1" customWidth="1"/>
    <col min="66" max="66" width="8.57421875" style="175" bestFit="1" customWidth="1"/>
    <col min="67" max="67" width="8.140625" style="175" bestFit="1" customWidth="1"/>
    <col min="68" max="69" width="7.8515625" style="175" customWidth="1"/>
    <col min="70" max="70" width="11.28125" style="175" bestFit="1" customWidth="1"/>
    <col min="71" max="72" width="8.8515625" style="175" bestFit="1" customWidth="1"/>
    <col min="73" max="73" width="10.57421875" style="175" bestFit="1" customWidth="1"/>
    <col min="74" max="76" width="11.28125" style="175" bestFit="1" customWidth="1"/>
    <col min="77" max="80" width="11.140625" style="175" customWidth="1"/>
    <col min="81" max="81" width="8.140625" style="175" bestFit="1" customWidth="1"/>
    <col min="82" max="84" width="11.28125" style="175" bestFit="1" customWidth="1"/>
    <col min="85" max="86" width="11.28125" style="175" customWidth="1"/>
    <col min="87" max="87" width="9.28125" style="175" customWidth="1"/>
    <col min="88" max="88" width="10.7109375" style="175" customWidth="1"/>
    <col min="89" max="89" width="8.57421875" style="175" bestFit="1" customWidth="1"/>
    <col min="90" max="92" width="8.57421875" style="175" customWidth="1"/>
    <col min="93" max="93" width="8.8515625" style="175" customWidth="1"/>
    <col min="94" max="94" width="10.28125" style="175" bestFit="1" customWidth="1"/>
    <col min="95" max="95" width="9.8515625" style="175" bestFit="1" customWidth="1"/>
    <col min="96" max="16384" width="6.00390625" style="175" customWidth="1"/>
  </cols>
  <sheetData>
    <row r="1" spans="1:95" ht="11.25">
      <c r="A1" s="175" t="s">
        <v>596</v>
      </c>
      <c r="B1" s="175" t="s">
        <v>597</v>
      </c>
      <c r="C1" s="175" t="s">
        <v>421</v>
      </c>
      <c r="D1" s="175" t="s">
        <v>422</v>
      </c>
      <c r="E1" s="175" t="s">
        <v>423</v>
      </c>
      <c r="F1" s="175" t="s">
        <v>424</v>
      </c>
      <c r="G1" s="175" t="s">
        <v>425</v>
      </c>
      <c r="H1" s="175" t="s">
        <v>426</v>
      </c>
      <c r="I1" s="175" t="s">
        <v>427</v>
      </c>
      <c r="J1" s="175" t="s">
        <v>428</v>
      </c>
      <c r="K1" s="175" t="s">
        <v>429</v>
      </c>
      <c r="L1" s="175" t="s">
        <v>430</v>
      </c>
      <c r="M1" s="175" t="s">
        <v>431</v>
      </c>
      <c r="N1" s="175" t="s">
        <v>432</v>
      </c>
      <c r="O1" s="175" t="s">
        <v>433</v>
      </c>
      <c r="P1" s="175" t="s">
        <v>434</v>
      </c>
      <c r="Q1" s="175" t="s">
        <v>435</v>
      </c>
      <c r="R1" s="175" t="s">
        <v>436</v>
      </c>
      <c r="S1" s="175" t="s">
        <v>437</v>
      </c>
      <c r="T1" s="175" t="s">
        <v>438</v>
      </c>
      <c r="U1" s="175" t="s">
        <v>439</v>
      </c>
      <c r="V1" s="175" t="s">
        <v>440</v>
      </c>
      <c r="W1" s="175" t="s">
        <v>441</v>
      </c>
      <c r="X1" s="175" t="s">
        <v>442</v>
      </c>
      <c r="Y1" s="175" t="s">
        <v>443</v>
      </c>
      <c r="Z1" s="175" t="s">
        <v>444</v>
      </c>
      <c r="AA1" s="175" t="s">
        <v>445</v>
      </c>
      <c r="AB1" s="175" t="s">
        <v>446</v>
      </c>
      <c r="AC1" s="175" t="s">
        <v>447</v>
      </c>
      <c r="AD1" s="175" t="s">
        <v>448</v>
      </c>
      <c r="AE1" s="175" t="s">
        <v>583</v>
      </c>
      <c r="AF1" s="175" t="s">
        <v>495</v>
      </c>
      <c r="AG1" s="175" t="s">
        <v>561</v>
      </c>
      <c r="AH1" s="175" t="s">
        <v>562</v>
      </c>
      <c r="AI1" s="175" t="s">
        <v>563</v>
      </c>
      <c r="AJ1" s="175" t="s">
        <v>449</v>
      </c>
      <c r="AK1" s="175" t="s">
        <v>450</v>
      </c>
      <c r="AL1" s="175" t="s">
        <v>451</v>
      </c>
      <c r="AM1" s="175" t="s">
        <v>452</v>
      </c>
      <c r="AN1" s="175" t="s">
        <v>453</v>
      </c>
      <c r="AO1" s="175" t="s">
        <v>454</v>
      </c>
      <c r="AP1" s="175" t="s">
        <v>455</v>
      </c>
      <c r="AQ1" s="175" t="s">
        <v>456</v>
      </c>
      <c r="AR1" s="175" t="s">
        <v>457</v>
      </c>
      <c r="AS1" s="175" t="s">
        <v>458</v>
      </c>
      <c r="AT1" s="175" t="s">
        <v>588</v>
      </c>
      <c r="AU1" s="175" t="s">
        <v>459</v>
      </c>
      <c r="AV1" s="175" t="s">
        <v>460</v>
      </c>
      <c r="AW1" s="175" t="s">
        <v>461</v>
      </c>
      <c r="AX1" s="175" t="s">
        <v>462</v>
      </c>
      <c r="AY1" s="175" t="s">
        <v>463</v>
      </c>
      <c r="AZ1" s="175" t="s">
        <v>464</v>
      </c>
      <c r="BA1" s="175" t="s">
        <v>465</v>
      </c>
      <c r="BB1" s="175" t="s">
        <v>466</v>
      </c>
      <c r="BC1" s="175" t="s">
        <v>467</v>
      </c>
      <c r="BD1" s="175" t="s">
        <v>468</v>
      </c>
      <c r="BE1" s="175" t="s">
        <v>469</v>
      </c>
      <c r="BF1" s="175" t="s">
        <v>470</v>
      </c>
      <c r="BG1" s="175" t="s">
        <v>471</v>
      </c>
      <c r="BH1" s="175" t="s">
        <v>472</v>
      </c>
      <c r="BI1" s="175" t="s">
        <v>474</v>
      </c>
      <c r="BJ1" s="175" t="s">
        <v>475</v>
      </c>
      <c r="BK1" s="175" t="s">
        <v>476</v>
      </c>
      <c r="BL1" s="175" t="s">
        <v>477</v>
      </c>
      <c r="BM1" s="175" t="s">
        <v>478</v>
      </c>
      <c r="BN1" s="175" t="s">
        <v>479</v>
      </c>
      <c r="BO1" s="175" t="s">
        <v>480</v>
      </c>
      <c r="BP1" s="175" t="s">
        <v>590</v>
      </c>
      <c r="BQ1" s="175" t="s">
        <v>592</v>
      </c>
      <c r="BR1" s="175" t="s">
        <v>481</v>
      </c>
      <c r="BS1" s="175" t="s">
        <v>482</v>
      </c>
      <c r="BT1" s="175" t="s">
        <v>483</v>
      </c>
      <c r="BU1" s="175" t="s">
        <v>484</v>
      </c>
      <c r="BV1" s="175" t="s">
        <v>485</v>
      </c>
      <c r="BW1" s="175" t="s">
        <v>486</v>
      </c>
      <c r="BX1" s="175" t="s">
        <v>487</v>
      </c>
      <c r="BY1" s="175" t="s">
        <v>577</v>
      </c>
      <c r="BZ1" s="175" t="s">
        <v>594</v>
      </c>
      <c r="CA1" s="175" t="s">
        <v>610</v>
      </c>
      <c r="CB1" s="175" t="s">
        <v>664</v>
      </c>
      <c r="CC1" s="175" t="s">
        <v>488</v>
      </c>
      <c r="CD1" s="175" t="s">
        <v>489</v>
      </c>
      <c r="CE1" s="175" t="s">
        <v>496</v>
      </c>
      <c r="CF1" s="175" t="s">
        <v>497</v>
      </c>
      <c r="CG1" s="175" t="s">
        <v>1156</v>
      </c>
      <c r="CH1" s="175" t="s">
        <v>1157</v>
      </c>
      <c r="CI1" s="175" t="s">
        <v>473</v>
      </c>
      <c r="CJ1" s="175" t="s">
        <v>490</v>
      </c>
      <c r="CK1" s="175" t="s">
        <v>560</v>
      </c>
      <c r="CL1" s="175" t="s">
        <v>671</v>
      </c>
      <c r="CM1" s="175" t="s">
        <v>672</v>
      </c>
      <c r="CN1" s="175" t="s">
        <v>569</v>
      </c>
      <c r="CO1" s="175" t="s">
        <v>600</v>
      </c>
      <c r="CP1" s="175" t="s">
        <v>673</v>
      </c>
      <c r="CQ1" s="175" t="s">
        <v>598</v>
      </c>
    </row>
    <row r="2" spans="1:95" ht="11.25">
      <c r="A2" s="207">
        <v>20</v>
      </c>
      <c r="B2" s="207" t="s">
        <v>59</v>
      </c>
      <c r="C2" s="207">
        <v>16611</v>
      </c>
      <c r="D2" s="207">
        <v>60600515.260000005</v>
      </c>
      <c r="E2" s="207">
        <v>18484175.863090288</v>
      </c>
      <c r="F2" s="207">
        <v>2562167.7783521647</v>
      </c>
      <c r="G2" s="207">
        <v>81646858.90144247</v>
      </c>
      <c r="H2" s="207">
        <v>3664.46</v>
      </c>
      <c r="I2" s="207">
        <v>60870345.06</v>
      </c>
      <c r="J2" s="207">
        <v>20776513.841442466</v>
      </c>
      <c r="K2" s="207">
        <v>293257.10143705545</v>
      </c>
      <c r="L2" s="207">
        <v>-1745648.4060230223</v>
      </c>
      <c r="M2" s="207">
        <v>0</v>
      </c>
      <c r="N2" s="207">
        <v>19324122.5368565</v>
      </c>
      <c r="O2" s="207">
        <v>8743221.248959173</v>
      </c>
      <c r="P2" s="207">
        <v>28067343.78581567</v>
      </c>
      <c r="Q2" s="207">
        <v>925</v>
      </c>
      <c r="R2" s="207">
        <v>218</v>
      </c>
      <c r="S2" s="207">
        <v>1322</v>
      </c>
      <c r="T2" s="207">
        <v>679</v>
      </c>
      <c r="U2" s="207">
        <v>568</v>
      </c>
      <c r="V2" s="207">
        <v>9103</v>
      </c>
      <c r="W2" s="207">
        <v>2238</v>
      </c>
      <c r="X2" s="207">
        <v>1065</v>
      </c>
      <c r="Y2" s="207">
        <v>493</v>
      </c>
      <c r="Z2" s="207">
        <v>29</v>
      </c>
      <c r="AA2" s="207">
        <v>0</v>
      </c>
      <c r="AB2" s="207">
        <v>16219</v>
      </c>
      <c r="AC2" s="207">
        <v>363</v>
      </c>
      <c r="AD2" s="207">
        <v>3796</v>
      </c>
      <c r="AE2" s="481">
        <v>0.9418656686394621</v>
      </c>
      <c r="AF2" s="207">
        <v>18484175.863090288</v>
      </c>
      <c r="AG2" s="207" t="e">
        <v>#DIV/0!</v>
      </c>
      <c r="AH2" s="207" t="e">
        <v>#DIV/0!</v>
      </c>
      <c r="AI2" s="207" t="e">
        <v>#DIV/0!</v>
      </c>
      <c r="AJ2" s="175">
        <v>651</v>
      </c>
      <c r="AK2" s="175">
        <v>7793</v>
      </c>
      <c r="AL2" s="175">
        <v>0.8562499343486806</v>
      </c>
      <c r="AM2" s="175">
        <v>363</v>
      </c>
      <c r="AN2" s="175">
        <v>0.0218529889832039</v>
      </c>
      <c r="AO2" s="175">
        <v>0.018571909872740905</v>
      </c>
      <c r="AP2" s="175">
        <v>0</v>
      </c>
      <c r="AQ2" s="175">
        <v>29</v>
      </c>
      <c r="AR2" s="175">
        <v>0</v>
      </c>
      <c r="AS2" s="175">
        <v>0</v>
      </c>
      <c r="AT2" s="175">
        <v>0</v>
      </c>
      <c r="AU2" s="175">
        <v>293.26</v>
      </c>
      <c r="AV2" s="175">
        <v>56.64256973334243</v>
      </c>
      <c r="AW2" s="175">
        <v>0.32043959563206287</v>
      </c>
      <c r="AX2" s="175">
        <v>697</v>
      </c>
      <c r="AY2" s="175">
        <v>5582</v>
      </c>
      <c r="AZ2" s="175">
        <v>0.1248656395557148</v>
      </c>
      <c r="BA2" s="175">
        <v>0.06368180347148031</v>
      </c>
      <c r="BB2" s="175">
        <v>0</v>
      </c>
      <c r="BC2" s="207">
        <v>4512</v>
      </c>
      <c r="BD2" s="175">
        <v>6657</v>
      </c>
      <c r="BE2" s="175">
        <v>0.6777827850383056</v>
      </c>
      <c r="BF2" s="175">
        <v>0.2688759024472125</v>
      </c>
      <c r="BG2" s="175">
        <v>0</v>
      </c>
      <c r="BH2" s="175">
        <v>0</v>
      </c>
      <c r="BI2" s="207">
        <v>0</v>
      </c>
      <c r="BJ2" s="207">
        <v>-3986.64</v>
      </c>
      <c r="BK2" s="207">
        <v>-68105.09999999999</v>
      </c>
      <c r="BL2" s="207">
        <v>-4651.080000000001</v>
      </c>
      <c r="BM2" s="207">
        <v>0</v>
      </c>
      <c r="BN2" s="207">
        <v>0</v>
      </c>
      <c r="BO2" s="207">
        <v>140004</v>
      </c>
      <c r="BP2" s="207">
        <v>-845796.7925418238</v>
      </c>
      <c r="BQ2" s="207">
        <v>-706964.16</v>
      </c>
      <c r="BR2" s="207">
        <v>-115745.45612722076</v>
      </c>
      <c r="BS2" s="207">
        <v>1334279</v>
      </c>
      <c r="BT2" s="207">
        <v>410543</v>
      </c>
      <c r="BU2" s="207">
        <v>897394.9424826249</v>
      </c>
      <c r="BV2" s="207">
        <v>27428.68789498369</v>
      </c>
      <c r="BW2" s="207">
        <v>125948.33979683967</v>
      </c>
      <c r="BX2" s="207">
        <v>413526.2233831386</v>
      </c>
      <c r="BY2" s="207">
        <v>833777.015607583</v>
      </c>
      <c r="BZ2" s="207">
        <v>1346679.5531167898</v>
      </c>
      <c r="CA2" s="207">
        <v>355892.2472376277</v>
      </c>
      <c r="CB2" s="207">
        <v>697081.5574756723</v>
      </c>
      <c r="CC2" s="207">
        <v>1494.99</v>
      </c>
      <c r="CD2" s="207">
        <v>149281.52027416526</v>
      </c>
      <c r="CE2" s="207">
        <v>908587.9565188013</v>
      </c>
      <c r="CF2" s="207">
        <v>-1745648.4060230223</v>
      </c>
      <c r="CG2" s="207">
        <v>717108.0123718568</v>
      </c>
      <c r="CH2" s="207">
        <v>924763.7824922772</v>
      </c>
      <c r="CI2" s="207">
        <v>0</v>
      </c>
      <c r="CJ2" s="207">
        <v>8743221.248959173</v>
      </c>
      <c r="CK2" s="207">
        <v>-2609429</v>
      </c>
      <c r="CL2" s="207">
        <v>154132.37000000002</v>
      </c>
      <c r="CM2" s="207">
        <v>1156803.998</v>
      </c>
      <c r="CN2" s="207">
        <v>-1002671.6279999999</v>
      </c>
      <c r="CO2" s="207">
        <v>25457914.78581567</v>
      </c>
      <c r="CP2" s="207">
        <v>29770421.12556754</v>
      </c>
      <c r="CQ2" s="207">
        <v>16769</v>
      </c>
    </row>
    <row r="3" spans="1:95" ht="11.25">
      <c r="A3" s="207">
        <v>5</v>
      </c>
      <c r="B3" s="207" t="s">
        <v>60</v>
      </c>
      <c r="C3" s="207">
        <v>9700</v>
      </c>
      <c r="D3" s="207">
        <v>38181661.99</v>
      </c>
      <c r="E3" s="207">
        <v>15916635.103148516</v>
      </c>
      <c r="F3" s="207">
        <v>2090735.4495016332</v>
      </c>
      <c r="G3" s="207">
        <v>56189032.54265015</v>
      </c>
      <c r="H3" s="207">
        <v>3664.46</v>
      </c>
      <c r="I3" s="207">
        <v>35545262</v>
      </c>
      <c r="J3" s="207">
        <v>20643770.54265015</v>
      </c>
      <c r="K3" s="207">
        <v>355923.162857516</v>
      </c>
      <c r="L3" s="207">
        <v>-762099.6113668185</v>
      </c>
      <c r="M3" s="207">
        <v>0</v>
      </c>
      <c r="N3" s="207">
        <v>20237594.094140846</v>
      </c>
      <c r="O3" s="207">
        <v>9741747.301746598</v>
      </c>
      <c r="P3" s="207">
        <v>29979341.395887442</v>
      </c>
      <c r="Q3" s="207">
        <v>570</v>
      </c>
      <c r="R3" s="207">
        <v>118</v>
      </c>
      <c r="S3" s="207">
        <v>767</v>
      </c>
      <c r="T3" s="207">
        <v>367</v>
      </c>
      <c r="U3" s="207">
        <v>375</v>
      </c>
      <c r="V3" s="207">
        <v>4865</v>
      </c>
      <c r="W3" s="207">
        <v>1447</v>
      </c>
      <c r="X3" s="207">
        <v>798</v>
      </c>
      <c r="Y3" s="207">
        <v>393</v>
      </c>
      <c r="Z3" s="207">
        <v>11</v>
      </c>
      <c r="AA3" s="207">
        <v>0</v>
      </c>
      <c r="AB3" s="207">
        <v>9465</v>
      </c>
      <c r="AC3" s="207">
        <v>224</v>
      </c>
      <c r="AD3" s="207">
        <v>2638</v>
      </c>
      <c r="AE3" s="481">
        <v>1.3888782570734561</v>
      </c>
      <c r="AF3" s="207">
        <v>15916635.103148516</v>
      </c>
      <c r="AG3" s="207" t="e">
        <v>#DIV/0!</v>
      </c>
      <c r="AH3" s="207" t="e">
        <v>#DIV/0!</v>
      </c>
      <c r="AI3" s="207" t="e">
        <v>#DIV/0!</v>
      </c>
      <c r="AJ3" s="175">
        <v>322</v>
      </c>
      <c r="AK3" s="175">
        <v>3996</v>
      </c>
      <c r="AL3" s="175">
        <v>0.8259516612457789</v>
      </c>
      <c r="AM3" s="175">
        <v>224</v>
      </c>
      <c r="AN3" s="175">
        <v>0.02309278350515464</v>
      </c>
      <c r="AO3" s="175">
        <v>0.019811704394691643</v>
      </c>
      <c r="AP3" s="175">
        <v>0</v>
      </c>
      <c r="AQ3" s="175">
        <v>11</v>
      </c>
      <c r="AR3" s="175">
        <v>0</v>
      </c>
      <c r="AS3" s="175">
        <v>0</v>
      </c>
      <c r="AT3" s="175">
        <v>0</v>
      </c>
      <c r="AU3" s="175">
        <v>1008.83</v>
      </c>
      <c r="AV3" s="175">
        <v>9.615098678667367</v>
      </c>
      <c r="AW3" s="175">
        <v>1.887710438290457</v>
      </c>
      <c r="AX3" s="175">
        <v>311</v>
      </c>
      <c r="AY3" s="175">
        <v>2544</v>
      </c>
      <c r="AZ3" s="175">
        <v>0.12224842767295598</v>
      </c>
      <c r="BA3" s="175">
        <v>0.06106459158872148</v>
      </c>
      <c r="BB3" s="175">
        <v>0</v>
      </c>
      <c r="BC3" s="207">
        <v>3330</v>
      </c>
      <c r="BD3" s="175">
        <v>3441</v>
      </c>
      <c r="BE3" s="175">
        <v>0.967741935483871</v>
      </c>
      <c r="BF3" s="175">
        <v>0.5588350528927779</v>
      </c>
      <c r="BG3" s="175">
        <v>0</v>
      </c>
      <c r="BH3" s="175">
        <v>0</v>
      </c>
      <c r="BI3" s="207">
        <v>0</v>
      </c>
      <c r="BJ3" s="207">
        <v>-2328</v>
      </c>
      <c r="BK3" s="207">
        <v>-39770</v>
      </c>
      <c r="BL3" s="207">
        <v>-2716.0000000000005</v>
      </c>
      <c r="BM3" s="207">
        <v>0</v>
      </c>
      <c r="BN3" s="207">
        <v>0</v>
      </c>
      <c r="BO3" s="207">
        <v>-188872</v>
      </c>
      <c r="BP3" s="207">
        <v>-201215.44187601272</v>
      </c>
      <c r="BQ3" s="207">
        <v>-412832</v>
      </c>
      <c r="BR3" s="207">
        <v>191146.63372095674</v>
      </c>
      <c r="BS3" s="207">
        <v>982443</v>
      </c>
      <c r="BT3" s="207">
        <v>316760</v>
      </c>
      <c r="BU3" s="207">
        <v>854672.9711615616</v>
      </c>
      <c r="BV3" s="207">
        <v>45846.99735082741</v>
      </c>
      <c r="BW3" s="207">
        <v>104017.12567895393</v>
      </c>
      <c r="BX3" s="207">
        <v>405909.5598663371</v>
      </c>
      <c r="BY3" s="207">
        <v>595879.924617515</v>
      </c>
      <c r="BZ3" s="207">
        <v>855777.1993154305</v>
      </c>
      <c r="CA3" s="207">
        <v>259567.6986035869</v>
      </c>
      <c r="CB3" s="207">
        <v>482826.7417279208</v>
      </c>
      <c r="CC3" s="207">
        <v>873</v>
      </c>
      <c r="CD3" s="207">
        <v>-11106.588389629876</v>
      </c>
      <c r="CE3" s="207">
        <v>495154.8305091943</v>
      </c>
      <c r="CF3" s="207">
        <v>-762099.6113668185</v>
      </c>
      <c r="CG3" s="207">
        <v>493510.7851778674</v>
      </c>
      <c r="CH3" s="207">
        <v>680973.0635715586</v>
      </c>
      <c r="CI3" s="207">
        <v>0</v>
      </c>
      <c r="CJ3" s="207">
        <v>9741747.301746598</v>
      </c>
      <c r="CK3" s="207">
        <v>1151537</v>
      </c>
      <c r="CL3" s="207">
        <v>2880455.18</v>
      </c>
      <c r="CM3" s="207">
        <v>484075.17</v>
      </c>
      <c r="CN3" s="207">
        <v>2396380.0100000002</v>
      </c>
      <c r="CO3" s="207">
        <v>31130878.395887442</v>
      </c>
      <c r="CP3" s="207">
        <v>34445423.24129252</v>
      </c>
      <c r="CQ3" s="207">
        <v>9831</v>
      </c>
    </row>
    <row r="4" spans="1:95" ht="11.25">
      <c r="A4" s="207">
        <v>9</v>
      </c>
      <c r="B4" s="207" t="s">
        <v>61</v>
      </c>
      <c r="C4" s="207">
        <v>2573</v>
      </c>
      <c r="D4" s="207">
        <v>10341383.180000002</v>
      </c>
      <c r="E4" s="207">
        <v>4527874.210183953</v>
      </c>
      <c r="F4" s="207">
        <v>470740.6726334769</v>
      </c>
      <c r="G4" s="207">
        <v>15339998.062817432</v>
      </c>
      <c r="H4" s="207">
        <v>3664.46</v>
      </c>
      <c r="I4" s="207">
        <v>9428655.58</v>
      </c>
      <c r="J4" s="207">
        <v>5911342.482817432</v>
      </c>
      <c r="K4" s="207">
        <v>58659.70193117409</v>
      </c>
      <c r="L4" s="207">
        <v>-158766.29471866586</v>
      </c>
      <c r="M4" s="207">
        <v>0</v>
      </c>
      <c r="N4" s="207">
        <v>5811235.89002994</v>
      </c>
      <c r="O4" s="207">
        <v>2732711.588637856</v>
      </c>
      <c r="P4" s="207">
        <v>8543947.478667796</v>
      </c>
      <c r="Q4" s="207">
        <v>181</v>
      </c>
      <c r="R4" s="207">
        <v>36</v>
      </c>
      <c r="S4" s="207">
        <v>215</v>
      </c>
      <c r="T4" s="207">
        <v>109</v>
      </c>
      <c r="U4" s="207">
        <v>100</v>
      </c>
      <c r="V4" s="207">
        <v>1323</v>
      </c>
      <c r="W4" s="207">
        <v>306</v>
      </c>
      <c r="X4" s="207">
        <v>208</v>
      </c>
      <c r="Y4" s="207">
        <v>95</v>
      </c>
      <c r="Z4" s="207">
        <v>6</v>
      </c>
      <c r="AA4" s="207">
        <v>0</v>
      </c>
      <c r="AB4" s="207">
        <v>2545</v>
      </c>
      <c r="AC4" s="207">
        <v>22</v>
      </c>
      <c r="AD4" s="207">
        <v>609</v>
      </c>
      <c r="AE4" s="481">
        <v>1.4894955850456453</v>
      </c>
      <c r="AF4" s="207">
        <v>4527874.210183953</v>
      </c>
      <c r="AG4" s="207" t="e">
        <v>#DIV/0!</v>
      </c>
      <c r="AH4" s="207" t="e">
        <v>#DIV/0!</v>
      </c>
      <c r="AI4" s="207" t="e">
        <v>#DIV/0!</v>
      </c>
      <c r="AJ4" s="175">
        <v>83</v>
      </c>
      <c r="AK4" s="175">
        <v>1099</v>
      </c>
      <c r="AL4" s="175">
        <v>0.7741134955608007</v>
      </c>
      <c r="AM4" s="175">
        <v>22</v>
      </c>
      <c r="AN4" s="175">
        <v>0.008550330353672756</v>
      </c>
      <c r="AO4" s="175">
        <v>0.00526925124320976</v>
      </c>
      <c r="AP4" s="175">
        <v>0</v>
      </c>
      <c r="AQ4" s="175">
        <v>6</v>
      </c>
      <c r="AR4" s="175">
        <v>0</v>
      </c>
      <c r="AS4" s="175">
        <v>0</v>
      </c>
      <c r="AT4" s="175">
        <v>0</v>
      </c>
      <c r="AU4" s="175">
        <v>251.41</v>
      </c>
      <c r="AV4" s="175">
        <v>10.234278668310727</v>
      </c>
      <c r="AW4" s="175">
        <v>1.7735028260579015</v>
      </c>
      <c r="AX4" s="175">
        <v>93</v>
      </c>
      <c r="AY4" s="175">
        <v>683</v>
      </c>
      <c r="AZ4" s="175">
        <v>0.13616398243045388</v>
      </c>
      <c r="BA4" s="175">
        <v>0.07498014634621938</v>
      </c>
      <c r="BB4" s="175">
        <v>0</v>
      </c>
      <c r="BC4" s="207">
        <v>741</v>
      </c>
      <c r="BD4" s="175">
        <v>980</v>
      </c>
      <c r="BE4" s="175">
        <v>0.7561224489795918</v>
      </c>
      <c r="BF4" s="175">
        <v>0.3472155663884987</v>
      </c>
      <c r="BG4" s="175">
        <v>0</v>
      </c>
      <c r="BH4" s="175">
        <v>0</v>
      </c>
      <c r="BI4" s="207">
        <v>0</v>
      </c>
      <c r="BJ4" s="207">
        <v>-617.52</v>
      </c>
      <c r="BK4" s="207">
        <v>-10549.3</v>
      </c>
      <c r="BL4" s="207">
        <v>-720.44</v>
      </c>
      <c r="BM4" s="207">
        <v>0</v>
      </c>
      <c r="BN4" s="207">
        <v>0</v>
      </c>
      <c r="BO4" s="207">
        <v>8706</v>
      </c>
      <c r="BP4" s="207">
        <v>-32099.522415303087</v>
      </c>
      <c r="BQ4" s="207">
        <v>-109506.88</v>
      </c>
      <c r="BR4" s="207">
        <v>-17372.005542550236</v>
      </c>
      <c r="BS4" s="207">
        <v>269616</v>
      </c>
      <c r="BT4" s="207">
        <v>76861</v>
      </c>
      <c r="BU4" s="207">
        <v>208942.05469652946</v>
      </c>
      <c r="BV4" s="207">
        <v>11331.87612350449</v>
      </c>
      <c r="BW4" s="207">
        <v>20677.75817964038</v>
      </c>
      <c r="BX4" s="207">
        <v>98339.24119116721</v>
      </c>
      <c r="BY4" s="207">
        <v>155628.8025438553</v>
      </c>
      <c r="BZ4" s="207">
        <v>249305.43506665138</v>
      </c>
      <c r="CA4" s="207">
        <v>62436.342574807924</v>
      </c>
      <c r="CB4" s="207">
        <v>126039.71635671791</v>
      </c>
      <c r="CC4" s="207">
        <v>231.57</v>
      </c>
      <c r="CD4" s="207">
        <v>24611.014362801172</v>
      </c>
      <c r="CE4" s="207">
        <v>153455.73769663725</v>
      </c>
      <c r="CF4" s="207">
        <v>-158766.29471866586</v>
      </c>
      <c r="CG4" s="207">
        <v>134731.88887638634</v>
      </c>
      <c r="CH4" s="207">
        <v>171727.97970907378</v>
      </c>
      <c r="CI4" s="207">
        <v>0</v>
      </c>
      <c r="CJ4" s="207">
        <v>2732711.588637856</v>
      </c>
      <c r="CK4" s="207">
        <v>-528738</v>
      </c>
      <c r="CL4" s="207">
        <v>140430.2</v>
      </c>
      <c r="CM4" s="207">
        <v>39538.600000000006</v>
      </c>
      <c r="CN4" s="207">
        <v>100891.6</v>
      </c>
      <c r="CO4" s="207">
        <v>8015209.478667796</v>
      </c>
      <c r="CP4" s="207">
        <v>8786981.76441105</v>
      </c>
      <c r="CQ4" s="207">
        <v>2610</v>
      </c>
    </row>
    <row r="5" spans="1:95" ht="11.25">
      <c r="A5" s="207">
        <v>10</v>
      </c>
      <c r="B5" s="207" t="s">
        <v>62</v>
      </c>
      <c r="C5" s="207">
        <v>11544</v>
      </c>
      <c r="D5" s="207">
        <v>44341333.089999996</v>
      </c>
      <c r="E5" s="207">
        <v>19055187.82189817</v>
      </c>
      <c r="F5" s="207">
        <v>2180779.8815149367</v>
      </c>
      <c r="G5" s="207">
        <v>65577300.7934131</v>
      </c>
      <c r="H5" s="207">
        <v>3664.46</v>
      </c>
      <c r="I5" s="207">
        <v>42302526.24</v>
      </c>
      <c r="J5" s="207">
        <v>23274774.5534131</v>
      </c>
      <c r="K5" s="207">
        <v>444398.725713461</v>
      </c>
      <c r="L5" s="207">
        <v>-1018638.7745448952</v>
      </c>
      <c r="M5" s="207">
        <v>0</v>
      </c>
      <c r="N5" s="207">
        <v>22700534.504581667</v>
      </c>
      <c r="O5" s="207">
        <v>11722150.378131824</v>
      </c>
      <c r="P5" s="207">
        <v>34422684.88271349</v>
      </c>
      <c r="Q5" s="207">
        <v>690</v>
      </c>
      <c r="R5" s="207">
        <v>134</v>
      </c>
      <c r="S5" s="207">
        <v>829</v>
      </c>
      <c r="T5" s="207">
        <v>431</v>
      </c>
      <c r="U5" s="207">
        <v>412</v>
      </c>
      <c r="V5" s="207">
        <v>5937</v>
      </c>
      <c r="W5" s="207">
        <v>1673</v>
      </c>
      <c r="X5" s="207">
        <v>1003</v>
      </c>
      <c r="Y5" s="207">
        <v>435</v>
      </c>
      <c r="Z5" s="207">
        <v>6</v>
      </c>
      <c r="AA5" s="207">
        <v>1</v>
      </c>
      <c r="AB5" s="207">
        <v>11364</v>
      </c>
      <c r="AC5" s="207">
        <v>173</v>
      </c>
      <c r="AD5" s="207">
        <v>3111</v>
      </c>
      <c r="AE5" s="481">
        <v>1.3971452839554992</v>
      </c>
      <c r="AF5" s="207">
        <v>19055187.82189817</v>
      </c>
      <c r="AG5" s="207" t="e">
        <v>#DIV/0!</v>
      </c>
      <c r="AH5" s="207" t="e">
        <v>#DIV/0!</v>
      </c>
      <c r="AI5" s="207" t="e">
        <v>#DIV/0!</v>
      </c>
      <c r="AJ5" s="175">
        <v>352</v>
      </c>
      <c r="AK5" s="175">
        <v>4933</v>
      </c>
      <c r="AL5" s="175">
        <v>0.7314013993066235</v>
      </c>
      <c r="AM5" s="175">
        <v>173</v>
      </c>
      <c r="AN5" s="175">
        <v>0.014986139986139986</v>
      </c>
      <c r="AO5" s="175">
        <v>0.011705060875676989</v>
      </c>
      <c r="AP5" s="175">
        <v>0</v>
      </c>
      <c r="AQ5" s="175">
        <v>6</v>
      </c>
      <c r="AR5" s="175">
        <v>1</v>
      </c>
      <c r="AS5" s="175">
        <v>0</v>
      </c>
      <c r="AT5" s="175">
        <v>0</v>
      </c>
      <c r="AU5" s="175">
        <v>1087.22</v>
      </c>
      <c r="AV5" s="175">
        <v>10.617906219532385</v>
      </c>
      <c r="AW5" s="175">
        <v>1.7094257347577633</v>
      </c>
      <c r="AX5" s="175">
        <v>429</v>
      </c>
      <c r="AY5" s="175">
        <v>3171</v>
      </c>
      <c r="AZ5" s="175">
        <v>0.13528855250709557</v>
      </c>
      <c r="BA5" s="175">
        <v>0.07410471642286107</v>
      </c>
      <c r="BB5" s="175">
        <v>0</v>
      </c>
      <c r="BC5" s="207">
        <v>4355</v>
      </c>
      <c r="BD5" s="175">
        <v>4376</v>
      </c>
      <c r="BE5" s="175">
        <v>0.995201096892139</v>
      </c>
      <c r="BF5" s="175">
        <v>0.5862942143010459</v>
      </c>
      <c r="BG5" s="175">
        <v>0</v>
      </c>
      <c r="BH5" s="175">
        <v>1</v>
      </c>
      <c r="BI5" s="207">
        <v>0</v>
      </c>
      <c r="BJ5" s="207">
        <v>-2770.56</v>
      </c>
      <c r="BK5" s="207">
        <v>-47330.399999999994</v>
      </c>
      <c r="BL5" s="207">
        <v>-3232.32</v>
      </c>
      <c r="BM5" s="207">
        <v>0</v>
      </c>
      <c r="BN5" s="207">
        <v>0</v>
      </c>
      <c r="BO5" s="207">
        <v>-11550</v>
      </c>
      <c r="BP5" s="207">
        <v>-172633.83972770884</v>
      </c>
      <c r="BQ5" s="207">
        <v>-491312.64</v>
      </c>
      <c r="BR5" s="207">
        <v>-158146.872291727</v>
      </c>
      <c r="BS5" s="207">
        <v>1196258</v>
      </c>
      <c r="BT5" s="207">
        <v>389828</v>
      </c>
      <c r="BU5" s="207">
        <v>994223.9405232423</v>
      </c>
      <c r="BV5" s="207">
        <v>46805.49325746627</v>
      </c>
      <c r="BW5" s="207">
        <v>102562.06916084253</v>
      </c>
      <c r="BX5" s="207">
        <v>466334.08575838123</v>
      </c>
      <c r="BY5" s="207">
        <v>749068.4935681962</v>
      </c>
      <c r="BZ5" s="207">
        <v>1066515.1689976272</v>
      </c>
      <c r="CA5" s="207">
        <v>322351.75372613425</v>
      </c>
      <c r="CB5" s="207">
        <v>594111.2951684942</v>
      </c>
      <c r="CC5" s="207">
        <v>1038.96</v>
      </c>
      <c r="CD5" s="207">
        <v>-7948.667523332493</v>
      </c>
      <c r="CE5" s="207">
        <v>410790.34518281365</v>
      </c>
      <c r="CF5" s="207">
        <v>-1018638.7745448952</v>
      </c>
      <c r="CG5" s="207">
        <v>575968.3649978731</v>
      </c>
      <c r="CH5" s="207">
        <v>847637.2459811486</v>
      </c>
      <c r="CI5" s="207">
        <v>0</v>
      </c>
      <c r="CJ5" s="207">
        <v>11722150.378131824</v>
      </c>
      <c r="CK5" s="207">
        <v>-614545</v>
      </c>
      <c r="CL5" s="207">
        <v>155427.6</v>
      </c>
      <c r="CM5" s="207">
        <v>250347.50800000003</v>
      </c>
      <c r="CN5" s="207">
        <v>-94919.90800000002</v>
      </c>
      <c r="CO5" s="207">
        <v>33808139.88271349</v>
      </c>
      <c r="CP5" s="207">
        <v>37714035.57277566</v>
      </c>
      <c r="CQ5" s="207">
        <v>11713</v>
      </c>
    </row>
    <row r="6" spans="1:95" ht="11.25">
      <c r="A6" s="207">
        <v>16</v>
      </c>
      <c r="B6" s="207" t="s">
        <v>63</v>
      </c>
      <c r="C6" s="207">
        <v>8149</v>
      </c>
      <c r="D6" s="207">
        <v>29529894.700000003</v>
      </c>
      <c r="E6" s="207">
        <v>10637920.684464037</v>
      </c>
      <c r="F6" s="207">
        <v>1927720.9540621813</v>
      </c>
      <c r="G6" s="207">
        <v>42095536.33852622</v>
      </c>
      <c r="H6" s="207">
        <v>3664.46</v>
      </c>
      <c r="I6" s="207">
        <v>29861684.54</v>
      </c>
      <c r="J6" s="207">
        <v>12233851.79852622</v>
      </c>
      <c r="K6" s="207">
        <v>186131.1579782992</v>
      </c>
      <c r="L6" s="207">
        <v>-503501.99099559477</v>
      </c>
      <c r="M6" s="207">
        <v>0</v>
      </c>
      <c r="N6" s="207">
        <v>11916480.965508925</v>
      </c>
      <c r="O6" s="207">
        <v>4557367.003451288</v>
      </c>
      <c r="P6" s="207">
        <v>16473847.968960213</v>
      </c>
      <c r="Q6" s="207">
        <v>374</v>
      </c>
      <c r="R6" s="207">
        <v>71</v>
      </c>
      <c r="S6" s="207">
        <v>510</v>
      </c>
      <c r="T6" s="207">
        <v>262</v>
      </c>
      <c r="U6" s="207">
        <v>269</v>
      </c>
      <c r="V6" s="207">
        <v>4036</v>
      </c>
      <c r="W6" s="207">
        <v>1553</v>
      </c>
      <c r="X6" s="207">
        <v>789</v>
      </c>
      <c r="Y6" s="207">
        <v>285</v>
      </c>
      <c r="Z6" s="207">
        <v>17</v>
      </c>
      <c r="AA6" s="207">
        <v>3</v>
      </c>
      <c r="AB6" s="207">
        <v>7965</v>
      </c>
      <c r="AC6" s="207">
        <v>164</v>
      </c>
      <c r="AD6" s="207">
        <v>2627</v>
      </c>
      <c r="AE6" s="481">
        <v>1.1049358979937798</v>
      </c>
      <c r="AF6" s="207">
        <v>10637920.684464037</v>
      </c>
      <c r="AG6" s="207" t="e">
        <v>#DIV/0!</v>
      </c>
      <c r="AH6" s="207" t="e">
        <v>#DIV/0!</v>
      </c>
      <c r="AI6" s="207" t="e">
        <v>#DIV/0!</v>
      </c>
      <c r="AJ6" s="175">
        <v>347</v>
      </c>
      <c r="AK6" s="175">
        <v>3482</v>
      </c>
      <c r="AL6" s="175">
        <v>1.0214684258202182</v>
      </c>
      <c r="AM6" s="175">
        <v>164</v>
      </c>
      <c r="AN6" s="175">
        <v>0.0201251687323598</v>
      </c>
      <c r="AO6" s="175">
        <v>0.016844089621896804</v>
      </c>
      <c r="AP6" s="175">
        <v>0</v>
      </c>
      <c r="AQ6" s="175">
        <v>17</v>
      </c>
      <c r="AR6" s="175">
        <v>3</v>
      </c>
      <c r="AS6" s="175">
        <v>3</v>
      </c>
      <c r="AT6" s="175">
        <v>505</v>
      </c>
      <c r="AU6" s="175">
        <v>563.3</v>
      </c>
      <c r="AV6" s="175">
        <v>14.466536481448607</v>
      </c>
      <c r="AW6" s="175">
        <v>1.2546556782398317</v>
      </c>
      <c r="AX6" s="175">
        <v>378</v>
      </c>
      <c r="AY6" s="175">
        <v>2317</v>
      </c>
      <c r="AZ6" s="175">
        <v>0.16314199395770393</v>
      </c>
      <c r="BA6" s="175">
        <v>0.10195815787346943</v>
      </c>
      <c r="BB6" s="175">
        <v>0</v>
      </c>
      <c r="BC6" s="207">
        <v>2318</v>
      </c>
      <c r="BD6" s="175">
        <v>3063</v>
      </c>
      <c r="BE6" s="175">
        <v>0.7567744041789096</v>
      </c>
      <c r="BF6" s="175">
        <v>0.34786752158781653</v>
      </c>
      <c r="BG6" s="175">
        <v>0</v>
      </c>
      <c r="BH6" s="175">
        <v>3</v>
      </c>
      <c r="BI6" s="207">
        <v>0</v>
      </c>
      <c r="BJ6" s="207">
        <v>-1955.76</v>
      </c>
      <c r="BK6" s="207">
        <v>-33410.899999999994</v>
      </c>
      <c r="BL6" s="207">
        <v>-2281.7200000000003</v>
      </c>
      <c r="BM6" s="207">
        <v>0</v>
      </c>
      <c r="BN6" s="207">
        <v>0</v>
      </c>
      <c r="BO6" s="207">
        <v>198106</v>
      </c>
      <c r="BP6" s="207">
        <v>-288844.9188740802</v>
      </c>
      <c r="BQ6" s="207">
        <v>-346821.44</v>
      </c>
      <c r="BR6" s="207">
        <v>98970.00168253854</v>
      </c>
      <c r="BS6" s="207">
        <v>734044</v>
      </c>
      <c r="BT6" s="207">
        <v>234966</v>
      </c>
      <c r="BU6" s="207">
        <v>499428.03132371634</v>
      </c>
      <c r="BV6" s="207">
        <v>23164.14885330807</v>
      </c>
      <c r="BW6" s="207">
        <v>5375.026859721413</v>
      </c>
      <c r="BX6" s="207">
        <v>239081.0739268699</v>
      </c>
      <c r="BY6" s="207">
        <v>418755.6805136163</v>
      </c>
      <c r="BZ6" s="207">
        <v>701338.6127065108</v>
      </c>
      <c r="CA6" s="207">
        <v>207166.79425464023</v>
      </c>
      <c r="CB6" s="207">
        <v>358437.5608125639</v>
      </c>
      <c r="CC6" s="207">
        <v>733.41</v>
      </c>
      <c r="CD6" s="207">
        <v>-3079.3416647349222</v>
      </c>
      <c r="CE6" s="207">
        <v>672524.5578784852</v>
      </c>
      <c r="CF6" s="207">
        <v>-503501.99099559477</v>
      </c>
      <c r="CG6" s="207">
        <v>369726.9778606815</v>
      </c>
      <c r="CH6" s="207">
        <v>493472.01047527057</v>
      </c>
      <c r="CI6" s="207">
        <v>0</v>
      </c>
      <c r="CJ6" s="207">
        <v>4557367.003451288</v>
      </c>
      <c r="CK6" s="207">
        <v>-415361</v>
      </c>
      <c r="CL6" s="207">
        <v>1289912.74</v>
      </c>
      <c r="CM6" s="207">
        <v>175428.678</v>
      </c>
      <c r="CN6" s="207">
        <v>1114484.062</v>
      </c>
      <c r="CO6" s="207">
        <v>16058486.968960213</v>
      </c>
      <c r="CP6" s="207">
        <v>18100237.974914197</v>
      </c>
      <c r="CQ6" s="207">
        <v>8248</v>
      </c>
    </row>
    <row r="7" spans="1:95" ht="11.25">
      <c r="A7" s="207">
        <v>18</v>
      </c>
      <c r="B7" s="207" t="s">
        <v>64</v>
      </c>
      <c r="C7" s="207">
        <v>4958</v>
      </c>
      <c r="D7" s="207">
        <v>17970070.839999996</v>
      </c>
      <c r="E7" s="207">
        <v>4369235.035339673</v>
      </c>
      <c r="F7" s="207">
        <v>887137.3700690184</v>
      </c>
      <c r="G7" s="207">
        <v>23226443.245408688</v>
      </c>
      <c r="H7" s="207">
        <v>3664.46</v>
      </c>
      <c r="I7" s="207">
        <v>18168392.68</v>
      </c>
      <c r="J7" s="207">
        <v>5058050.565408688</v>
      </c>
      <c r="K7" s="207">
        <v>66601.81891733872</v>
      </c>
      <c r="L7" s="207">
        <v>-345234.3479270404</v>
      </c>
      <c r="M7" s="207">
        <v>0</v>
      </c>
      <c r="N7" s="207">
        <v>4779418.036398986</v>
      </c>
      <c r="O7" s="207">
        <v>1473311.8129884747</v>
      </c>
      <c r="P7" s="207">
        <v>6252729.849387461</v>
      </c>
      <c r="Q7" s="207">
        <v>356</v>
      </c>
      <c r="R7" s="207">
        <v>67</v>
      </c>
      <c r="S7" s="207">
        <v>433</v>
      </c>
      <c r="T7" s="207">
        <v>219</v>
      </c>
      <c r="U7" s="207">
        <v>199</v>
      </c>
      <c r="V7" s="207">
        <v>2739</v>
      </c>
      <c r="W7" s="207">
        <v>588</v>
      </c>
      <c r="X7" s="207">
        <v>260</v>
      </c>
      <c r="Y7" s="207">
        <v>97</v>
      </c>
      <c r="Z7" s="207">
        <v>167</v>
      </c>
      <c r="AA7" s="207">
        <v>0</v>
      </c>
      <c r="AB7" s="207">
        <v>4666</v>
      </c>
      <c r="AC7" s="207">
        <v>125</v>
      </c>
      <c r="AD7" s="207">
        <v>945</v>
      </c>
      <c r="AE7" s="481">
        <v>0.7459050344002957</v>
      </c>
      <c r="AF7" s="207">
        <v>4369235.035339673</v>
      </c>
      <c r="AG7" s="207" t="e">
        <v>#DIV/0!</v>
      </c>
      <c r="AH7" s="207" t="e">
        <v>#DIV/0!</v>
      </c>
      <c r="AI7" s="207" t="e">
        <v>#DIV/0!</v>
      </c>
      <c r="AJ7" s="175">
        <v>169</v>
      </c>
      <c r="AK7" s="175">
        <v>2451</v>
      </c>
      <c r="AL7" s="175">
        <v>0.7067529537685777</v>
      </c>
      <c r="AM7" s="175">
        <v>125</v>
      </c>
      <c r="AN7" s="175">
        <v>0.025211778943122227</v>
      </c>
      <c r="AO7" s="175">
        <v>0.02193069983265923</v>
      </c>
      <c r="AP7" s="175">
        <v>0</v>
      </c>
      <c r="AQ7" s="175">
        <v>167</v>
      </c>
      <c r="AR7" s="175">
        <v>0</v>
      </c>
      <c r="AS7" s="175">
        <v>0</v>
      </c>
      <c r="AT7" s="175">
        <v>0</v>
      </c>
      <c r="AU7" s="175">
        <v>212.42</v>
      </c>
      <c r="AV7" s="175">
        <v>23.340551737124567</v>
      </c>
      <c r="AW7" s="175">
        <v>0.7776389498129842</v>
      </c>
      <c r="AX7" s="175">
        <v>263</v>
      </c>
      <c r="AY7" s="175">
        <v>1665</v>
      </c>
      <c r="AZ7" s="175">
        <v>0.15795795795795795</v>
      </c>
      <c r="BA7" s="175">
        <v>0.09677412187372345</v>
      </c>
      <c r="BB7" s="175">
        <v>0</v>
      </c>
      <c r="BC7" s="207">
        <v>1373</v>
      </c>
      <c r="BD7" s="175">
        <v>2238</v>
      </c>
      <c r="BE7" s="175">
        <v>0.6134941912421805</v>
      </c>
      <c r="BF7" s="175">
        <v>0.20458730865108743</v>
      </c>
      <c r="BG7" s="175">
        <v>0</v>
      </c>
      <c r="BH7" s="175">
        <v>0</v>
      </c>
      <c r="BI7" s="207">
        <v>0</v>
      </c>
      <c r="BJ7" s="207">
        <v>-1189.9199999999998</v>
      </c>
      <c r="BK7" s="207">
        <v>-20327.8</v>
      </c>
      <c r="BL7" s="207">
        <v>-1388.2400000000002</v>
      </c>
      <c r="BM7" s="207">
        <v>0</v>
      </c>
      <c r="BN7" s="207">
        <v>0</v>
      </c>
      <c r="BO7" s="207">
        <v>4308</v>
      </c>
      <c r="BP7" s="207">
        <v>-121514.80484506319</v>
      </c>
      <c r="BQ7" s="207">
        <v>-211012.48</v>
      </c>
      <c r="BR7" s="207">
        <v>113498.53809232544</v>
      </c>
      <c r="BS7" s="207">
        <v>390010</v>
      </c>
      <c r="BT7" s="207">
        <v>130963</v>
      </c>
      <c r="BU7" s="207">
        <v>277568.86861187575</v>
      </c>
      <c r="BV7" s="207">
        <v>5685.533134850141</v>
      </c>
      <c r="BW7" s="207">
        <v>18260.159979551037</v>
      </c>
      <c r="BX7" s="207">
        <v>78444.9405121629</v>
      </c>
      <c r="BY7" s="207">
        <v>268579.92814660154</v>
      </c>
      <c r="BZ7" s="207">
        <v>394468.0167573563</v>
      </c>
      <c r="CA7" s="207">
        <v>106452.60858936342</v>
      </c>
      <c r="CB7" s="207">
        <v>194995.58547290025</v>
      </c>
      <c r="CC7" s="207">
        <v>446.21999999999997</v>
      </c>
      <c r="CD7" s="207">
        <v>-11102.15071258101</v>
      </c>
      <c r="CE7" s="207">
        <v>316057.9169180228</v>
      </c>
      <c r="CF7" s="207">
        <v>-345234.3479270404</v>
      </c>
      <c r="CG7" s="207">
        <v>203998.88953827837</v>
      </c>
      <c r="CH7" s="207">
        <v>279658.02020830236</v>
      </c>
      <c r="CI7" s="207">
        <v>0</v>
      </c>
      <c r="CJ7" s="207">
        <v>1473311.8129884747</v>
      </c>
      <c r="CK7" s="207">
        <v>-272292</v>
      </c>
      <c r="CL7" s="207">
        <v>790840.17</v>
      </c>
      <c r="CM7" s="207">
        <v>338668.56000000006</v>
      </c>
      <c r="CN7" s="207">
        <v>452171.61</v>
      </c>
      <c r="CO7" s="207">
        <v>5980437.849387461</v>
      </c>
      <c r="CP7" s="207">
        <v>7354774.424372178</v>
      </c>
      <c r="CQ7" s="207">
        <v>4990</v>
      </c>
    </row>
    <row r="8" spans="1:95" ht="11.25">
      <c r="A8" s="207">
        <v>19</v>
      </c>
      <c r="B8" s="207" t="s">
        <v>65</v>
      </c>
      <c r="C8" s="207">
        <v>3984</v>
      </c>
      <c r="D8" s="207">
        <v>14066793.05</v>
      </c>
      <c r="E8" s="207">
        <v>3754235.3368327753</v>
      </c>
      <c r="F8" s="207">
        <v>652343.9377164607</v>
      </c>
      <c r="G8" s="207">
        <v>18473372.32454924</v>
      </c>
      <c r="H8" s="207">
        <v>3664.46</v>
      </c>
      <c r="I8" s="207">
        <v>14599208.64</v>
      </c>
      <c r="J8" s="207">
        <v>3874163.6845492385</v>
      </c>
      <c r="K8" s="207">
        <v>58565.60765507255</v>
      </c>
      <c r="L8" s="207">
        <v>-465386.554898274</v>
      </c>
      <c r="M8" s="207">
        <v>0</v>
      </c>
      <c r="N8" s="207">
        <v>3467342.737306037</v>
      </c>
      <c r="O8" s="207">
        <v>1927382.8061910647</v>
      </c>
      <c r="P8" s="207">
        <v>5394725.543497101</v>
      </c>
      <c r="Q8" s="207">
        <v>285</v>
      </c>
      <c r="R8" s="207">
        <v>53</v>
      </c>
      <c r="S8" s="207">
        <v>327</v>
      </c>
      <c r="T8" s="207">
        <v>167</v>
      </c>
      <c r="U8" s="207">
        <v>156</v>
      </c>
      <c r="V8" s="207">
        <v>2255</v>
      </c>
      <c r="W8" s="207">
        <v>458</v>
      </c>
      <c r="X8" s="207">
        <v>210</v>
      </c>
      <c r="Y8" s="207">
        <v>73</v>
      </c>
      <c r="Z8" s="207">
        <v>27</v>
      </c>
      <c r="AA8" s="207">
        <v>0</v>
      </c>
      <c r="AB8" s="207">
        <v>3845</v>
      </c>
      <c r="AC8" s="207">
        <v>112</v>
      </c>
      <c r="AD8" s="207">
        <v>741</v>
      </c>
      <c r="AE8" s="481">
        <v>0.7976030697832116</v>
      </c>
      <c r="AF8" s="207">
        <v>3754235.3368327753</v>
      </c>
      <c r="AG8" s="207" t="e">
        <v>#DIV/0!</v>
      </c>
      <c r="AH8" s="207" t="e">
        <v>#DIV/0!</v>
      </c>
      <c r="AI8" s="207" t="e">
        <v>#DIV/0!</v>
      </c>
      <c r="AJ8" s="175">
        <v>113</v>
      </c>
      <c r="AK8" s="175">
        <v>1970</v>
      </c>
      <c r="AL8" s="175">
        <v>0.5879446680521628</v>
      </c>
      <c r="AM8" s="175">
        <v>112</v>
      </c>
      <c r="AN8" s="175">
        <v>0.028112449799196786</v>
      </c>
      <c r="AO8" s="175">
        <v>0.02483137068873379</v>
      </c>
      <c r="AP8" s="175">
        <v>0</v>
      </c>
      <c r="AQ8" s="175">
        <v>27</v>
      </c>
      <c r="AR8" s="175">
        <v>0</v>
      </c>
      <c r="AS8" s="175">
        <v>0</v>
      </c>
      <c r="AT8" s="175">
        <v>0</v>
      </c>
      <c r="AU8" s="175">
        <v>95.01</v>
      </c>
      <c r="AV8" s="175">
        <v>41.932428165456265</v>
      </c>
      <c r="AW8" s="175">
        <v>0.4328516838875905</v>
      </c>
      <c r="AX8" s="175">
        <v>226</v>
      </c>
      <c r="AY8" s="175">
        <v>1352</v>
      </c>
      <c r="AZ8" s="175">
        <v>0.16715976331360946</v>
      </c>
      <c r="BA8" s="175">
        <v>0.10597592722937496</v>
      </c>
      <c r="BB8" s="175">
        <v>0</v>
      </c>
      <c r="BC8" s="207">
        <v>1127</v>
      </c>
      <c r="BD8" s="175">
        <v>1781</v>
      </c>
      <c r="BE8" s="175">
        <v>0.6327905670971364</v>
      </c>
      <c r="BF8" s="175">
        <v>0.22388368450604335</v>
      </c>
      <c r="BG8" s="175">
        <v>0</v>
      </c>
      <c r="BH8" s="175">
        <v>0</v>
      </c>
      <c r="BI8" s="207">
        <v>0</v>
      </c>
      <c r="BJ8" s="207">
        <v>-956.16</v>
      </c>
      <c r="BK8" s="207">
        <v>-16334.399999999998</v>
      </c>
      <c r="BL8" s="207">
        <v>-1115.5200000000002</v>
      </c>
      <c r="BM8" s="207">
        <v>0</v>
      </c>
      <c r="BN8" s="207">
        <v>0</v>
      </c>
      <c r="BO8" s="207">
        <v>-66508</v>
      </c>
      <c r="BP8" s="207">
        <v>-82707.57662516477</v>
      </c>
      <c r="BQ8" s="207">
        <v>-169559.04</v>
      </c>
      <c r="BR8" s="207">
        <v>-55272.213284444064</v>
      </c>
      <c r="BS8" s="207">
        <v>304849</v>
      </c>
      <c r="BT8" s="207">
        <v>99381</v>
      </c>
      <c r="BU8" s="207">
        <v>201671.6672826829</v>
      </c>
      <c r="BV8" s="207">
        <v>3174.9392171713553</v>
      </c>
      <c r="BW8" s="207">
        <v>16950.500800257825</v>
      </c>
      <c r="BX8" s="207">
        <v>78918.645847082</v>
      </c>
      <c r="BY8" s="207">
        <v>205320.91818612782</v>
      </c>
      <c r="BZ8" s="207">
        <v>357272.2399105509</v>
      </c>
      <c r="CA8" s="207">
        <v>93136.486716834</v>
      </c>
      <c r="CB8" s="207">
        <v>166118.60393671633</v>
      </c>
      <c r="CC8" s="207">
        <v>358.56</v>
      </c>
      <c r="CD8" s="207">
        <v>6284.139892957548</v>
      </c>
      <c r="CE8" s="207">
        <v>51059.10172689071</v>
      </c>
      <c r="CF8" s="207">
        <v>-465386.554898274</v>
      </c>
      <c r="CG8" s="207">
        <v>162252.45511837723</v>
      </c>
      <c r="CH8" s="207">
        <v>239343.6029726267</v>
      </c>
      <c r="CI8" s="207">
        <v>0</v>
      </c>
      <c r="CJ8" s="207">
        <v>1927382.8061910647</v>
      </c>
      <c r="CK8" s="207">
        <v>-647579</v>
      </c>
      <c r="CL8" s="207">
        <v>117252.4</v>
      </c>
      <c r="CM8" s="207">
        <v>204469.098</v>
      </c>
      <c r="CN8" s="207">
        <v>-87216.698</v>
      </c>
      <c r="CO8" s="207">
        <v>4747146.543497101</v>
      </c>
      <c r="CP8" s="207">
        <v>5818349.876777805</v>
      </c>
      <c r="CQ8" s="207">
        <v>3991</v>
      </c>
    </row>
    <row r="9" spans="1:95" ht="11.25">
      <c r="A9" s="207">
        <v>46</v>
      </c>
      <c r="B9" s="207" t="s">
        <v>66</v>
      </c>
      <c r="C9" s="207">
        <v>1405</v>
      </c>
      <c r="D9" s="207">
        <v>5383809.949999999</v>
      </c>
      <c r="E9" s="207">
        <v>2364124.7813012023</v>
      </c>
      <c r="F9" s="207">
        <v>1063037.0701172953</v>
      </c>
      <c r="G9" s="207">
        <v>8810971.801418496</v>
      </c>
      <c r="H9" s="207">
        <v>3664.46</v>
      </c>
      <c r="I9" s="207">
        <v>5148566.3</v>
      </c>
      <c r="J9" s="207">
        <v>3662405.5014184965</v>
      </c>
      <c r="K9" s="207">
        <v>82781.74994403058</v>
      </c>
      <c r="L9" s="207">
        <v>26486.055118794466</v>
      </c>
      <c r="M9" s="207">
        <v>0</v>
      </c>
      <c r="N9" s="207">
        <v>3771673.306481322</v>
      </c>
      <c r="O9" s="207">
        <v>1159148.8692975375</v>
      </c>
      <c r="P9" s="207">
        <v>4930822.175778859</v>
      </c>
      <c r="Q9" s="207">
        <v>56</v>
      </c>
      <c r="R9" s="207">
        <v>14</v>
      </c>
      <c r="S9" s="207">
        <v>71</v>
      </c>
      <c r="T9" s="207">
        <v>40</v>
      </c>
      <c r="U9" s="207">
        <v>29</v>
      </c>
      <c r="V9" s="207">
        <v>663</v>
      </c>
      <c r="W9" s="207">
        <v>295</v>
      </c>
      <c r="X9" s="207">
        <v>166</v>
      </c>
      <c r="Y9" s="207">
        <v>71</v>
      </c>
      <c r="Z9" s="207">
        <v>2</v>
      </c>
      <c r="AA9" s="207">
        <v>0</v>
      </c>
      <c r="AB9" s="207">
        <v>1361</v>
      </c>
      <c r="AC9" s="207">
        <v>42</v>
      </c>
      <c r="AD9" s="207">
        <v>532</v>
      </c>
      <c r="AE9" s="481">
        <v>1.4242253924364925</v>
      </c>
      <c r="AF9" s="207">
        <v>2364124.7813012023</v>
      </c>
      <c r="AG9" s="207" t="e">
        <v>#DIV/0!</v>
      </c>
      <c r="AH9" s="207" t="e">
        <v>#DIV/0!</v>
      </c>
      <c r="AI9" s="207" t="e">
        <v>#DIV/0!</v>
      </c>
      <c r="AJ9" s="175">
        <v>67</v>
      </c>
      <c r="AK9" s="175">
        <v>586</v>
      </c>
      <c r="AL9" s="175">
        <v>1.171929335470793</v>
      </c>
      <c r="AM9" s="175">
        <v>42</v>
      </c>
      <c r="AN9" s="175">
        <v>0.0298932384341637</v>
      </c>
      <c r="AO9" s="175">
        <v>0.026612159323700705</v>
      </c>
      <c r="AP9" s="175">
        <v>0</v>
      </c>
      <c r="AQ9" s="175">
        <v>2</v>
      </c>
      <c r="AR9" s="175">
        <v>0</v>
      </c>
      <c r="AS9" s="175">
        <v>1</v>
      </c>
      <c r="AT9" s="175">
        <v>0</v>
      </c>
      <c r="AU9" s="175">
        <v>305.58</v>
      </c>
      <c r="AV9" s="175">
        <v>4.597813993062373</v>
      </c>
      <c r="AW9" s="175">
        <v>3.9476416767403895</v>
      </c>
      <c r="AX9" s="175">
        <v>64</v>
      </c>
      <c r="AY9" s="175">
        <v>354</v>
      </c>
      <c r="AZ9" s="175">
        <v>0.1807909604519774</v>
      </c>
      <c r="BA9" s="175">
        <v>0.1196071243677429</v>
      </c>
      <c r="BB9" s="175">
        <v>0.1604</v>
      </c>
      <c r="BC9" s="207">
        <v>378</v>
      </c>
      <c r="BD9" s="175">
        <v>486</v>
      </c>
      <c r="BE9" s="175">
        <v>0.7777777777777778</v>
      </c>
      <c r="BF9" s="175">
        <v>0.3688708951866847</v>
      </c>
      <c r="BG9" s="175">
        <v>0</v>
      </c>
      <c r="BH9" s="175">
        <v>0</v>
      </c>
      <c r="BI9" s="207">
        <v>0</v>
      </c>
      <c r="BJ9" s="207">
        <v>-337.2</v>
      </c>
      <c r="BK9" s="207">
        <v>-5760.499999999999</v>
      </c>
      <c r="BL9" s="207">
        <v>-393.40000000000003</v>
      </c>
      <c r="BM9" s="207">
        <v>0</v>
      </c>
      <c r="BN9" s="207">
        <v>0</v>
      </c>
      <c r="BO9" s="207">
        <v>30511</v>
      </c>
      <c r="BP9" s="207">
        <v>-52122.23090000894</v>
      </c>
      <c r="BQ9" s="207">
        <v>-59796.8</v>
      </c>
      <c r="BR9" s="207">
        <v>129093.88504570909</v>
      </c>
      <c r="BS9" s="207">
        <v>170795</v>
      </c>
      <c r="BT9" s="207">
        <v>51004</v>
      </c>
      <c r="BU9" s="207">
        <v>132057.32919923117</v>
      </c>
      <c r="BV9" s="207">
        <v>6623.632441935772</v>
      </c>
      <c r="BW9" s="207">
        <v>5672.3970182429675</v>
      </c>
      <c r="BX9" s="207">
        <v>61209.4471838827</v>
      </c>
      <c r="BY9" s="207">
        <v>88357.1907931275</v>
      </c>
      <c r="BZ9" s="207">
        <v>132007.98019348277</v>
      </c>
      <c r="CA9" s="207">
        <v>36934.000312073</v>
      </c>
      <c r="CB9" s="207">
        <v>69106.6379195624</v>
      </c>
      <c r="CC9" s="207">
        <v>126.44999999999999</v>
      </c>
      <c r="CD9" s="207">
        <v>-6938.808319913951</v>
      </c>
      <c r="CE9" s="207">
        <v>231570.6360188034</v>
      </c>
      <c r="CF9" s="207">
        <v>26486.055118794466</v>
      </c>
      <c r="CG9" s="207">
        <v>77387.15929300824</v>
      </c>
      <c r="CH9" s="207">
        <v>93123.63878881665</v>
      </c>
      <c r="CI9" s="207">
        <v>0</v>
      </c>
      <c r="CJ9" s="207">
        <v>1159148.8692975375</v>
      </c>
      <c r="CK9" s="207">
        <v>-342720</v>
      </c>
      <c r="CL9" s="207">
        <v>194966.2</v>
      </c>
      <c r="CM9" s="207">
        <v>42974.368</v>
      </c>
      <c r="CN9" s="207">
        <v>151991.832</v>
      </c>
      <c r="CO9" s="207">
        <v>4588102.175778859</v>
      </c>
      <c r="CP9" s="207">
        <v>5185255.525318464</v>
      </c>
      <c r="CQ9" s="207">
        <v>1416</v>
      </c>
    </row>
    <row r="10" spans="1:95" ht="11.25">
      <c r="A10" s="207">
        <v>47</v>
      </c>
      <c r="B10" s="207" t="s">
        <v>67</v>
      </c>
      <c r="C10" s="207">
        <v>1852</v>
      </c>
      <c r="D10" s="207">
        <v>5709510.94</v>
      </c>
      <c r="E10" s="207">
        <v>2444406.6727433447</v>
      </c>
      <c r="F10" s="207">
        <v>1920564.7670276011</v>
      </c>
      <c r="G10" s="207">
        <v>10074482.379770946</v>
      </c>
      <c r="H10" s="207">
        <v>3664.46</v>
      </c>
      <c r="I10" s="207">
        <v>6786579.92</v>
      </c>
      <c r="J10" s="207">
        <v>3287902.459770946</v>
      </c>
      <c r="K10" s="207">
        <v>2879967.5031850347</v>
      </c>
      <c r="L10" s="207">
        <v>327986.53795431135</v>
      </c>
      <c r="M10" s="207">
        <v>0</v>
      </c>
      <c r="N10" s="207">
        <v>6495856.500910291</v>
      </c>
      <c r="O10" s="207">
        <v>1618834.411888992</v>
      </c>
      <c r="P10" s="207">
        <v>8114690.912799284</v>
      </c>
      <c r="Q10" s="207">
        <v>75</v>
      </c>
      <c r="R10" s="207">
        <v>23</v>
      </c>
      <c r="S10" s="207">
        <v>109</v>
      </c>
      <c r="T10" s="207">
        <v>42</v>
      </c>
      <c r="U10" s="207">
        <v>38</v>
      </c>
      <c r="V10" s="207">
        <v>1056</v>
      </c>
      <c r="W10" s="207">
        <v>334</v>
      </c>
      <c r="X10" s="207">
        <v>133</v>
      </c>
      <c r="Y10" s="207">
        <v>42</v>
      </c>
      <c r="Z10" s="207">
        <v>17</v>
      </c>
      <c r="AA10" s="207">
        <v>196</v>
      </c>
      <c r="AB10" s="207">
        <v>1604</v>
      </c>
      <c r="AC10" s="207">
        <v>35</v>
      </c>
      <c r="AD10" s="207">
        <v>509</v>
      </c>
      <c r="AE10" s="481">
        <v>1.1171645125568896</v>
      </c>
      <c r="AF10" s="207">
        <v>2444406.6727433447</v>
      </c>
      <c r="AG10" s="207" t="e">
        <v>#DIV/0!</v>
      </c>
      <c r="AH10" s="207" t="e">
        <v>#DIV/0!</v>
      </c>
      <c r="AI10" s="207" t="e">
        <v>#DIV/0!</v>
      </c>
      <c r="AJ10" s="175">
        <v>147</v>
      </c>
      <c r="AK10" s="175">
        <v>906</v>
      </c>
      <c r="AL10" s="175">
        <v>1.663080900400729</v>
      </c>
      <c r="AM10" s="175">
        <v>35</v>
      </c>
      <c r="AN10" s="175">
        <v>0.018898488120950324</v>
      </c>
      <c r="AO10" s="175">
        <v>0.015617409010487329</v>
      </c>
      <c r="AP10" s="175">
        <v>0</v>
      </c>
      <c r="AQ10" s="175">
        <v>17</v>
      </c>
      <c r="AR10" s="175">
        <v>196</v>
      </c>
      <c r="AS10" s="175">
        <v>0</v>
      </c>
      <c r="AT10" s="175">
        <v>0</v>
      </c>
      <c r="AU10" s="175">
        <v>7952.91</v>
      </c>
      <c r="AV10" s="175">
        <v>0.2328707353660484</v>
      </c>
      <c r="AW10" s="175">
        <v>77.94247788320182</v>
      </c>
      <c r="AX10" s="175">
        <v>106</v>
      </c>
      <c r="AY10" s="175">
        <v>550</v>
      </c>
      <c r="AZ10" s="175">
        <v>0.19272727272727272</v>
      </c>
      <c r="BA10" s="175">
        <v>0.13154343664303822</v>
      </c>
      <c r="BB10" s="175">
        <v>1.90255</v>
      </c>
      <c r="BC10" s="207">
        <v>626</v>
      </c>
      <c r="BD10" s="175">
        <v>729</v>
      </c>
      <c r="BE10" s="175">
        <v>0.8587105624142661</v>
      </c>
      <c r="BF10" s="175">
        <v>0.44980367982317304</v>
      </c>
      <c r="BG10" s="175">
        <v>1</v>
      </c>
      <c r="BH10" s="175">
        <v>196</v>
      </c>
      <c r="BI10" s="207">
        <v>0</v>
      </c>
      <c r="BJ10" s="207">
        <v>-444.47999999999996</v>
      </c>
      <c r="BK10" s="207">
        <v>-7593.199999999999</v>
      </c>
      <c r="BL10" s="207">
        <v>-518.5600000000001</v>
      </c>
      <c r="BM10" s="207">
        <v>0</v>
      </c>
      <c r="BN10" s="207">
        <v>0</v>
      </c>
      <c r="BO10" s="207">
        <v>95738</v>
      </c>
      <c r="BP10" s="207">
        <v>-27528.02963042642</v>
      </c>
      <c r="BQ10" s="207">
        <v>-78821.12000000001</v>
      </c>
      <c r="BR10" s="207">
        <v>358000.4534871001</v>
      </c>
      <c r="BS10" s="207">
        <v>173397</v>
      </c>
      <c r="BT10" s="207">
        <v>59946</v>
      </c>
      <c r="BU10" s="207">
        <v>172394.94870718927</v>
      </c>
      <c r="BV10" s="207">
        <v>9669.362924982988</v>
      </c>
      <c r="BW10" s="207">
        <v>17796.73113292622</v>
      </c>
      <c r="BX10" s="207">
        <v>66470.25845941098</v>
      </c>
      <c r="BY10" s="207">
        <v>120347.25272450408</v>
      </c>
      <c r="BZ10" s="207">
        <v>149976.14331376436</v>
      </c>
      <c r="CA10" s="207">
        <v>66511.29198030259</v>
      </c>
      <c r="CB10" s="207">
        <v>106033.8413544209</v>
      </c>
      <c r="CC10" s="207">
        <v>166.68</v>
      </c>
      <c r="CD10" s="207">
        <v>12918.564900160985</v>
      </c>
      <c r="CE10" s="207">
        <v>557141.8075847378</v>
      </c>
      <c r="CF10" s="207">
        <v>327986.53795431135</v>
      </c>
      <c r="CG10" s="207">
        <v>88484.6291974767</v>
      </c>
      <c r="CH10" s="207">
        <v>147368.0692511045</v>
      </c>
      <c r="CI10" s="207">
        <v>0</v>
      </c>
      <c r="CJ10" s="207">
        <v>1618834.411888992</v>
      </c>
      <c r="CK10" s="207">
        <v>-2607</v>
      </c>
      <c r="CL10" s="207">
        <v>6817</v>
      </c>
      <c r="CM10" s="207">
        <v>27268</v>
      </c>
      <c r="CN10" s="207">
        <v>-20451</v>
      </c>
      <c r="CO10" s="207">
        <v>8112083.912799284</v>
      </c>
      <c r="CP10" s="207">
        <v>8719373.404761711</v>
      </c>
      <c r="CQ10" s="207">
        <v>1893</v>
      </c>
    </row>
    <row r="11" spans="1:95" ht="11.25">
      <c r="A11" s="207">
        <v>49</v>
      </c>
      <c r="B11" s="207" t="s">
        <v>68</v>
      </c>
      <c r="C11" s="207">
        <v>283632</v>
      </c>
      <c r="D11" s="207">
        <v>940895719.6500001</v>
      </c>
      <c r="E11" s="207">
        <v>216587012.5897197</v>
      </c>
      <c r="F11" s="207">
        <v>138861360.94577548</v>
      </c>
      <c r="G11" s="207">
        <v>1296344093.1854954</v>
      </c>
      <c r="H11" s="207">
        <v>3664.46</v>
      </c>
      <c r="I11" s="207">
        <v>1039358118.72</v>
      </c>
      <c r="J11" s="207">
        <v>256985974.46549535</v>
      </c>
      <c r="K11" s="207">
        <v>9447328.772662291</v>
      </c>
      <c r="L11" s="207">
        <v>-47033131.49999795</v>
      </c>
      <c r="M11" s="207">
        <v>0</v>
      </c>
      <c r="N11" s="207">
        <v>219400171.7381597</v>
      </c>
      <c r="O11" s="207">
        <v>-168311130.18349805</v>
      </c>
      <c r="P11" s="207">
        <v>51089041.55466163</v>
      </c>
      <c r="Q11" s="207">
        <v>21164</v>
      </c>
      <c r="R11" s="207">
        <v>3835</v>
      </c>
      <c r="S11" s="207">
        <v>22667</v>
      </c>
      <c r="T11" s="207">
        <v>10353</v>
      </c>
      <c r="U11" s="207">
        <v>9686</v>
      </c>
      <c r="V11" s="207">
        <v>174296</v>
      </c>
      <c r="W11" s="207">
        <v>25405</v>
      </c>
      <c r="X11" s="207">
        <v>12142</v>
      </c>
      <c r="Y11" s="207">
        <v>4084</v>
      </c>
      <c r="Z11" s="207">
        <v>19999</v>
      </c>
      <c r="AA11" s="207">
        <v>15</v>
      </c>
      <c r="AB11" s="207">
        <v>215533</v>
      </c>
      <c r="AC11" s="207">
        <v>48085</v>
      </c>
      <c r="AD11" s="207">
        <v>41631</v>
      </c>
      <c r="AE11" s="481">
        <v>0.6463411953145273</v>
      </c>
      <c r="AF11" s="207">
        <v>216587012.5897197</v>
      </c>
      <c r="AG11" s="207" t="e">
        <v>#DIV/0!</v>
      </c>
      <c r="AH11" s="207" t="e">
        <v>#DIV/0!</v>
      </c>
      <c r="AI11" s="207" t="e">
        <v>#DIV/0!</v>
      </c>
      <c r="AJ11" s="175">
        <v>11447</v>
      </c>
      <c r="AK11" s="175">
        <v>141993</v>
      </c>
      <c r="AL11" s="175">
        <v>0.8263213743074598</v>
      </c>
      <c r="AM11" s="175">
        <v>48085</v>
      </c>
      <c r="AN11" s="175">
        <v>0.1695330569188244</v>
      </c>
      <c r="AO11" s="175">
        <v>0.1662519778083614</v>
      </c>
      <c r="AP11" s="175">
        <v>1</v>
      </c>
      <c r="AQ11" s="175">
        <v>19999</v>
      </c>
      <c r="AR11" s="175">
        <v>15</v>
      </c>
      <c r="AS11" s="175">
        <v>3</v>
      </c>
      <c r="AT11" s="175">
        <v>685</v>
      </c>
      <c r="AU11" s="175">
        <v>312.33</v>
      </c>
      <c r="AV11" s="175">
        <v>908.1164153299395</v>
      </c>
      <c r="AW11" s="175">
        <v>0.019986999281715077</v>
      </c>
      <c r="AX11" s="175">
        <v>16943</v>
      </c>
      <c r="AY11" s="175">
        <v>101042</v>
      </c>
      <c r="AZ11" s="175">
        <v>0.16768274578887987</v>
      </c>
      <c r="BA11" s="175">
        <v>0.10649890970464537</v>
      </c>
      <c r="BB11" s="175">
        <v>0</v>
      </c>
      <c r="BC11" s="207">
        <v>117007</v>
      </c>
      <c r="BD11" s="175">
        <v>127710</v>
      </c>
      <c r="BE11" s="175">
        <v>0.9161929371231696</v>
      </c>
      <c r="BF11" s="175">
        <v>0.5072860545320765</v>
      </c>
      <c r="BG11" s="175">
        <v>0</v>
      </c>
      <c r="BH11" s="175">
        <v>15</v>
      </c>
      <c r="BI11" s="207">
        <v>0</v>
      </c>
      <c r="BJ11" s="207">
        <v>-68071.68</v>
      </c>
      <c r="BK11" s="207">
        <v>-1162891.2</v>
      </c>
      <c r="BL11" s="207">
        <v>-79416.96</v>
      </c>
      <c r="BM11" s="207">
        <v>0</v>
      </c>
      <c r="BN11" s="207">
        <v>0</v>
      </c>
      <c r="BO11" s="207">
        <v>-2408909</v>
      </c>
      <c r="BP11" s="207">
        <v>-21429323.16815838</v>
      </c>
      <c r="BQ11" s="207">
        <v>-12071377.92</v>
      </c>
      <c r="BR11" s="207">
        <v>-266216.5658850074</v>
      </c>
      <c r="BS11" s="207">
        <v>12227998</v>
      </c>
      <c r="BT11" s="207">
        <v>4741059</v>
      </c>
      <c r="BU11" s="207">
        <v>9930861.540707117</v>
      </c>
      <c r="BV11" s="207">
        <v>158476.05074123334</v>
      </c>
      <c r="BW11" s="207">
        <v>-3216643.810550721</v>
      </c>
      <c r="BX11" s="207">
        <v>3590217.8977544284</v>
      </c>
      <c r="BY11" s="207">
        <v>10354449.592781734</v>
      </c>
      <c r="BZ11" s="207">
        <v>14030211.993497528</v>
      </c>
      <c r="CA11" s="207">
        <v>5368588.6363894185</v>
      </c>
      <c r="CB11" s="207">
        <v>8687348.306144333</v>
      </c>
      <c r="CC11" s="207">
        <v>25526.879999999997</v>
      </c>
      <c r="CD11" s="207">
        <v>-3741837.619272322</v>
      </c>
      <c r="CE11" s="207">
        <v>5275207.5081604365</v>
      </c>
      <c r="CF11" s="207">
        <v>-47033131.49999795</v>
      </c>
      <c r="CG11" s="207">
        <v>11385848.133317765</v>
      </c>
      <c r="CH11" s="207">
        <v>12455170.85960335</v>
      </c>
      <c r="CI11" s="207">
        <v>0</v>
      </c>
      <c r="CJ11" s="207">
        <v>-168311130.18349805</v>
      </c>
      <c r="CK11" s="207">
        <v>-17515597</v>
      </c>
      <c r="CL11" s="207">
        <v>2845211.290000002</v>
      </c>
      <c r="CM11" s="207">
        <v>16770297.190000007</v>
      </c>
      <c r="CN11" s="207">
        <v>-13925085.900000006</v>
      </c>
      <c r="CO11" s="207">
        <v>33573444.55466163</v>
      </c>
      <c r="CP11" s="207">
        <v>47221909.98402265</v>
      </c>
      <c r="CQ11" s="207">
        <v>279044</v>
      </c>
    </row>
    <row r="12" spans="1:95" ht="11.25">
      <c r="A12" s="207">
        <v>50</v>
      </c>
      <c r="B12" s="207" t="s">
        <v>69</v>
      </c>
      <c r="C12" s="207">
        <v>11748</v>
      </c>
      <c r="D12" s="207">
        <v>44143068.60000001</v>
      </c>
      <c r="E12" s="207">
        <v>13631195.299723955</v>
      </c>
      <c r="F12" s="207">
        <v>2305805.168660217</v>
      </c>
      <c r="G12" s="207">
        <v>60080069.06838418</v>
      </c>
      <c r="H12" s="207">
        <v>3664.46</v>
      </c>
      <c r="I12" s="207">
        <v>43050076.08</v>
      </c>
      <c r="J12" s="207">
        <v>17029992.98838418</v>
      </c>
      <c r="K12" s="207">
        <v>516112.5224660677</v>
      </c>
      <c r="L12" s="207">
        <v>-1009888.4082962165</v>
      </c>
      <c r="M12" s="207">
        <v>0</v>
      </c>
      <c r="N12" s="207">
        <v>16536217.10255403</v>
      </c>
      <c r="O12" s="207">
        <v>4798266.828081737</v>
      </c>
      <c r="P12" s="207">
        <v>21334483.93063577</v>
      </c>
      <c r="Q12" s="207">
        <v>672</v>
      </c>
      <c r="R12" s="207">
        <v>118</v>
      </c>
      <c r="S12" s="207">
        <v>805</v>
      </c>
      <c r="T12" s="207">
        <v>437</v>
      </c>
      <c r="U12" s="207">
        <v>360</v>
      </c>
      <c r="V12" s="207">
        <v>6126</v>
      </c>
      <c r="W12" s="207">
        <v>1815</v>
      </c>
      <c r="X12" s="207">
        <v>975</v>
      </c>
      <c r="Y12" s="207">
        <v>440</v>
      </c>
      <c r="Z12" s="207">
        <v>21</v>
      </c>
      <c r="AA12" s="207">
        <v>0</v>
      </c>
      <c r="AB12" s="207">
        <v>11360</v>
      </c>
      <c r="AC12" s="207">
        <v>367</v>
      </c>
      <c r="AD12" s="207">
        <v>3230</v>
      </c>
      <c r="AE12" s="481">
        <v>0.9820976134212798</v>
      </c>
      <c r="AF12" s="207">
        <v>13631195.299723955</v>
      </c>
      <c r="AG12" s="207" t="e">
        <v>#DIV/0!</v>
      </c>
      <c r="AH12" s="207" t="e">
        <v>#DIV/0!</v>
      </c>
      <c r="AI12" s="207" t="e">
        <v>#DIV/0!</v>
      </c>
      <c r="AJ12" s="175">
        <v>357</v>
      </c>
      <c r="AK12" s="175">
        <v>5369</v>
      </c>
      <c r="AL12" s="175">
        <v>0.6815520854634284</v>
      </c>
      <c r="AM12" s="175">
        <v>367</v>
      </c>
      <c r="AN12" s="175">
        <v>0.031239359891045284</v>
      </c>
      <c r="AO12" s="175">
        <v>0.02795828078058229</v>
      </c>
      <c r="AP12" s="175">
        <v>0</v>
      </c>
      <c r="AQ12" s="175">
        <v>21</v>
      </c>
      <c r="AR12" s="175">
        <v>0</v>
      </c>
      <c r="AS12" s="175">
        <v>0</v>
      </c>
      <c r="AT12" s="175">
        <v>0</v>
      </c>
      <c r="AU12" s="175">
        <v>578.8</v>
      </c>
      <c r="AV12" s="175">
        <v>20.297166551485834</v>
      </c>
      <c r="AW12" s="175">
        <v>0.894239207963955</v>
      </c>
      <c r="AX12" s="175">
        <v>569</v>
      </c>
      <c r="AY12" s="175">
        <v>3441</v>
      </c>
      <c r="AZ12" s="175">
        <v>0.16535890729439118</v>
      </c>
      <c r="BA12" s="175">
        <v>0.10417507121015668</v>
      </c>
      <c r="BB12" s="175">
        <v>0</v>
      </c>
      <c r="BC12" s="207">
        <v>5211</v>
      </c>
      <c r="BD12" s="175">
        <v>4834</v>
      </c>
      <c r="BE12" s="175">
        <v>1.0779892428630533</v>
      </c>
      <c r="BF12" s="175">
        <v>0.6690823602719602</v>
      </c>
      <c r="BG12" s="175">
        <v>0</v>
      </c>
      <c r="BH12" s="175">
        <v>0</v>
      </c>
      <c r="BI12" s="207">
        <v>0</v>
      </c>
      <c r="BJ12" s="207">
        <v>-2819.52</v>
      </c>
      <c r="BK12" s="207">
        <v>-48166.799999999996</v>
      </c>
      <c r="BL12" s="207">
        <v>-3289.4400000000005</v>
      </c>
      <c r="BM12" s="207">
        <v>0</v>
      </c>
      <c r="BN12" s="207">
        <v>0</v>
      </c>
      <c r="BO12" s="207">
        <v>-119829</v>
      </c>
      <c r="BP12" s="207">
        <v>-268676.63687994133</v>
      </c>
      <c r="BQ12" s="207">
        <v>-499994.88</v>
      </c>
      <c r="BR12" s="207">
        <v>147021.0045784153</v>
      </c>
      <c r="BS12" s="207">
        <v>930471</v>
      </c>
      <c r="BT12" s="207">
        <v>326226</v>
      </c>
      <c r="BU12" s="207">
        <v>755979.6991818466</v>
      </c>
      <c r="BV12" s="207">
        <v>35805.37842070008</v>
      </c>
      <c r="BW12" s="207">
        <v>118088.13599981995</v>
      </c>
      <c r="BX12" s="207">
        <v>359583.83389071794</v>
      </c>
      <c r="BY12" s="207">
        <v>592840.1409151391</v>
      </c>
      <c r="BZ12" s="207">
        <v>1045132.1657653033</v>
      </c>
      <c r="CA12" s="207">
        <v>278567.27786175744</v>
      </c>
      <c r="CB12" s="207">
        <v>485946.3758917351</v>
      </c>
      <c r="CC12" s="207">
        <v>1057.32</v>
      </c>
      <c r="CD12" s="207">
        <v>-29772.788956303324</v>
      </c>
      <c r="CE12" s="207">
        <v>537792.988583725</v>
      </c>
      <c r="CF12" s="207">
        <v>-1009888.4082962165</v>
      </c>
      <c r="CG12" s="207">
        <v>527685.932961613</v>
      </c>
      <c r="CH12" s="207">
        <v>659728.5351541582</v>
      </c>
      <c r="CI12" s="207">
        <v>0</v>
      </c>
      <c r="CJ12" s="207">
        <v>4798266.828081737</v>
      </c>
      <c r="CK12" s="207">
        <v>-1189616</v>
      </c>
      <c r="CL12" s="207">
        <v>388773.51</v>
      </c>
      <c r="CM12" s="207">
        <v>160949.37000000002</v>
      </c>
      <c r="CN12" s="207">
        <v>227824.13999999998</v>
      </c>
      <c r="CO12" s="207">
        <v>20144867.93063577</v>
      </c>
      <c r="CP12" s="207">
        <v>22718639.947085068</v>
      </c>
      <c r="CQ12" s="207">
        <v>11910</v>
      </c>
    </row>
    <row r="13" spans="1:95" ht="11.25">
      <c r="A13" s="207">
        <v>51</v>
      </c>
      <c r="B13" s="207" t="s">
        <v>70</v>
      </c>
      <c r="C13" s="207">
        <v>9454</v>
      </c>
      <c r="D13" s="207">
        <v>34155775.34</v>
      </c>
      <c r="E13" s="207">
        <v>8721833.853756351</v>
      </c>
      <c r="F13" s="207">
        <v>1935046.9898868215</v>
      </c>
      <c r="G13" s="207">
        <v>44812656.18364318</v>
      </c>
      <c r="H13" s="207">
        <v>3664.46</v>
      </c>
      <c r="I13" s="207">
        <v>34643804.84</v>
      </c>
      <c r="J13" s="207">
        <v>10168851.343643174</v>
      </c>
      <c r="K13" s="207">
        <v>300429.28340334207</v>
      </c>
      <c r="L13" s="207">
        <v>-321166.8307256233</v>
      </c>
      <c r="M13" s="207">
        <v>0</v>
      </c>
      <c r="N13" s="207">
        <v>10148113.796320893</v>
      </c>
      <c r="O13" s="207">
        <v>-2755512.2135596336</v>
      </c>
      <c r="P13" s="207">
        <v>7392601.58276126</v>
      </c>
      <c r="Q13" s="207">
        <v>585</v>
      </c>
      <c r="R13" s="207">
        <v>111</v>
      </c>
      <c r="S13" s="207">
        <v>751</v>
      </c>
      <c r="T13" s="207">
        <v>335</v>
      </c>
      <c r="U13" s="207">
        <v>314</v>
      </c>
      <c r="V13" s="207">
        <v>4976</v>
      </c>
      <c r="W13" s="207">
        <v>1443</v>
      </c>
      <c r="X13" s="207">
        <v>689</v>
      </c>
      <c r="Y13" s="207">
        <v>250</v>
      </c>
      <c r="Z13" s="207">
        <v>31</v>
      </c>
      <c r="AA13" s="207">
        <v>0</v>
      </c>
      <c r="AB13" s="207">
        <v>9096</v>
      </c>
      <c r="AC13" s="207">
        <v>327</v>
      </c>
      <c r="AD13" s="207">
        <v>2382</v>
      </c>
      <c r="AE13" s="481">
        <v>0.7808666316212756</v>
      </c>
      <c r="AF13" s="207">
        <v>8721833.853756351</v>
      </c>
      <c r="AG13" s="207" t="e">
        <v>#DIV/0!</v>
      </c>
      <c r="AH13" s="207" t="e">
        <v>#DIV/0!</v>
      </c>
      <c r="AI13" s="207" t="e">
        <v>#DIV/0!</v>
      </c>
      <c r="AJ13" s="175">
        <v>262</v>
      </c>
      <c r="AK13" s="175">
        <v>4310</v>
      </c>
      <c r="AL13" s="175">
        <v>0.6230863827042346</v>
      </c>
      <c r="AM13" s="175">
        <v>327</v>
      </c>
      <c r="AN13" s="175">
        <v>0.03458853395388196</v>
      </c>
      <c r="AO13" s="175">
        <v>0.03130745484341896</v>
      </c>
      <c r="AP13" s="175">
        <v>0</v>
      </c>
      <c r="AQ13" s="175">
        <v>31</v>
      </c>
      <c r="AR13" s="175">
        <v>0</v>
      </c>
      <c r="AS13" s="175">
        <v>0</v>
      </c>
      <c r="AT13" s="175">
        <v>0</v>
      </c>
      <c r="AU13" s="175">
        <v>514.77</v>
      </c>
      <c r="AV13" s="175">
        <v>18.365483614041224</v>
      </c>
      <c r="AW13" s="175">
        <v>0.9882953546094639</v>
      </c>
      <c r="AX13" s="175">
        <v>533</v>
      </c>
      <c r="AY13" s="175">
        <v>3070</v>
      </c>
      <c r="AZ13" s="175">
        <v>0.1736156351791531</v>
      </c>
      <c r="BA13" s="175">
        <v>0.1124317990949186</v>
      </c>
      <c r="BB13" s="175">
        <v>0</v>
      </c>
      <c r="BC13" s="207">
        <v>3426</v>
      </c>
      <c r="BD13" s="175">
        <v>3837</v>
      </c>
      <c r="BE13" s="175">
        <v>0.8928850664581705</v>
      </c>
      <c r="BF13" s="175">
        <v>0.48397818386707736</v>
      </c>
      <c r="BG13" s="175">
        <v>0</v>
      </c>
      <c r="BH13" s="175">
        <v>0</v>
      </c>
      <c r="BI13" s="207">
        <v>0</v>
      </c>
      <c r="BJ13" s="207">
        <v>-2268.96</v>
      </c>
      <c r="BK13" s="207">
        <v>-38761.399999999994</v>
      </c>
      <c r="BL13" s="207">
        <v>-2647.1200000000003</v>
      </c>
      <c r="BM13" s="207">
        <v>0</v>
      </c>
      <c r="BN13" s="207">
        <v>0</v>
      </c>
      <c r="BO13" s="207">
        <v>166456</v>
      </c>
      <c r="BP13" s="207">
        <v>-242768.32008183477</v>
      </c>
      <c r="BQ13" s="207">
        <v>-402362.24000000005</v>
      </c>
      <c r="BR13" s="207">
        <v>531912.2649731943</v>
      </c>
      <c r="BS13" s="207">
        <v>825213</v>
      </c>
      <c r="BT13" s="207">
        <v>332930</v>
      </c>
      <c r="BU13" s="207">
        <v>852349.3838743449</v>
      </c>
      <c r="BV13" s="207">
        <v>38149.05709767528</v>
      </c>
      <c r="BW13" s="207">
        <v>81094.72168116856</v>
      </c>
      <c r="BX13" s="207">
        <v>261660.24010085664</v>
      </c>
      <c r="BY13" s="207">
        <v>497056.58265767223</v>
      </c>
      <c r="BZ13" s="207">
        <v>700972.9043078987</v>
      </c>
      <c r="CA13" s="207">
        <v>275408.68621278135</v>
      </c>
      <c r="CB13" s="207">
        <v>436241.2523208853</v>
      </c>
      <c r="CC13" s="207">
        <v>850.86</v>
      </c>
      <c r="CD13" s="207">
        <v>-151311.67856672432</v>
      </c>
      <c r="CE13" s="207">
        <v>950858.4693562116</v>
      </c>
      <c r="CF13" s="207">
        <v>-321166.8307256233</v>
      </c>
      <c r="CG13" s="207">
        <v>393591.5629497415</v>
      </c>
      <c r="CH13" s="207">
        <v>650235.268298534</v>
      </c>
      <c r="CI13" s="207">
        <v>1127997.178455826</v>
      </c>
      <c r="CJ13" s="207">
        <v>-2755512.2135596336</v>
      </c>
      <c r="CK13" s="207">
        <v>-998197</v>
      </c>
      <c r="CL13" s="207">
        <v>225165.51</v>
      </c>
      <c r="CM13" s="207">
        <v>401439.49600000004</v>
      </c>
      <c r="CN13" s="207">
        <v>-176273.98600000003</v>
      </c>
      <c r="CO13" s="207">
        <v>6394404.58276126</v>
      </c>
      <c r="CP13" s="207">
        <v>10708357.368669417</v>
      </c>
      <c r="CQ13" s="207">
        <v>9521</v>
      </c>
    </row>
    <row r="14" spans="1:95" ht="11.25">
      <c r="A14" s="207">
        <v>52</v>
      </c>
      <c r="B14" s="207" t="s">
        <v>71</v>
      </c>
      <c r="C14" s="207">
        <v>2473</v>
      </c>
      <c r="D14" s="207">
        <v>9445840.370000001</v>
      </c>
      <c r="E14" s="207">
        <v>4656550.47102387</v>
      </c>
      <c r="F14" s="207">
        <v>641009.5344455391</v>
      </c>
      <c r="G14" s="207">
        <v>14743400.375469409</v>
      </c>
      <c r="H14" s="207">
        <v>3664.46</v>
      </c>
      <c r="I14" s="207">
        <v>9062209.58</v>
      </c>
      <c r="J14" s="207">
        <v>5681190.795469409</v>
      </c>
      <c r="K14" s="207">
        <v>77286.85572714526</v>
      </c>
      <c r="L14" s="207">
        <v>-88527.75678871156</v>
      </c>
      <c r="M14" s="207">
        <v>0</v>
      </c>
      <c r="N14" s="207">
        <v>5669949.894407842</v>
      </c>
      <c r="O14" s="207">
        <v>2126871.296571575</v>
      </c>
      <c r="P14" s="207">
        <v>7796821.190979417</v>
      </c>
      <c r="Q14" s="207">
        <v>140</v>
      </c>
      <c r="R14" s="207">
        <v>24</v>
      </c>
      <c r="S14" s="207">
        <v>190</v>
      </c>
      <c r="T14" s="207">
        <v>72</v>
      </c>
      <c r="U14" s="207">
        <v>87</v>
      </c>
      <c r="V14" s="207">
        <v>1280</v>
      </c>
      <c r="W14" s="207">
        <v>363</v>
      </c>
      <c r="X14" s="207">
        <v>212</v>
      </c>
      <c r="Y14" s="207">
        <v>105</v>
      </c>
      <c r="Z14" s="207">
        <v>48</v>
      </c>
      <c r="AA14" s="207">
        <v>0</v>
      </c>
      <c r="AB14" s="207">
        <v>2348</v>
      </c>
      <c r="AC14" s="207">
        <v>77</v>
      </c>
      <c r="AD14" s="207">
        <v>680</v>
      </c>
      <c r="AE14" s="481">
        <v>1.5937670781205804</v>
      </c>
      <c r="AF14" s="207">
        <v>4656550.47102387</v>
      </c>
      <c r="AG14" s="207" t="e">
        <v>#DIV/0!</v>
      </c>
      <c r="AH14" s="207" t="e">
        <v>#DIV/0!</v>
      </c>
      <c r="AI14" s="207" t="e">
        <v>#DIV/0!</v>
      </c>
      <c r="AJ14" s="175">
        <v>68</v>
      </c>
      <c r="AK14" s="175">
        <v>1119</v>
      </c>
      <c r="AL14" s="175">
        <v>0.6228781049156384</v>
      </c>
      <c r="AM14" s="175">
        <v>77</v>
      </c>
      <c r="AN14" s="175">
        <v>0.03113627173473514</v>
      </c>
      <c r="AO14" s="175">
        <v>0.027855192624272145</v>
      </c>
      <c r="AP14" s="175">
        <v>0</v>
      </c>
      <c r="AQ14" s="175">
        <v>48</v>
      </c>
      <c r="AR14" s="175">
        <v>0</v>
      </c>
      <c r="AS14" s="175">
        <v>0</v>
      </c>
      <c r="AT14" s="175">
        <v>0</v>
      </c>
      <c r="AU14" s="175">
        <v>354.15</v>
      </c>
      <c r="AV14" s="175">
        <v>6.98291684314556</v>
      </c>
      <c r="AW14" s="175">
        <v>2.5992751379718557</v>
      </c>
      <c r="AX14" s="175">
        <v>117</v>
      </c>
      <c r="AY14" s="175">
        <v>704</v>
      </c>
      <c r="AZ14" s="175">
        <v>0.16619318181818182</v>
      </c>
      <c r="BA14" s="175">
        <v>0.10500934573394732</v>
      </c>
      <c r="BB14" s="175">
        <v>0</v>
      </c>
      <c r="BC14" s="207">
        <v>907</v>
      </c>
      <c r="BD14" s="175">
        <v>1025</v>
      </c>
      <c r="BE14" s="175">
        <v>0.8848780487804878</v>
      </c>
      <c r="BF14" s="175">
        <v>0.4759711661893947</v>
      </c>
      <c r="BG14" s="175">
        <v>0</v>
      </c>
      <c r="BH14" s="175">
        <v>0</v>
      </c>
      <c r="BI14" s="207">
        <v>0</v>
      </c>
      <c r="BJ14" s="207">
        <v>-593.52</v>
      </c>
      <c r="BK14" s="207">
        <v>-10139.3</v>
      </c>
      <c r="BL14" s="207">
        <v>-692.44</v>
      </c>
      <c r="BM14" s="207">
        <v>0</v>
      </c>
      <c r="BN14" s="207">
        <v>0</v>
      </c>
      <c r="BO14" s="207">
        <v>-100747</v>
      </c>
      <c r="BP14" s="207">
        <v>-32854.45883108954</v>
      </c>
      <c r="BQ14" s="207">
        <v>-105250.88</v>
      </c>
      <c r="BR14" s="207">
        <v>216915.193710112</v>
      </c>
      <c r="BS14" s="207">
        <v>268330</v>
      </c>
      <c r="BT14" s="207">
        <v>90507</v>
      </c>
      <c r="BU14" s="207">
        <v>236019.7094316398</v>
      </c>
      <c r="BV14" s="207">
        <v>12785.587300546524</v>
      </c>
      <c r="BW14" s="207">
        <v>13972.667475937424</v>
      </c>
      <c r="BX14" s="207">
        <v>91029.97670731465</v>
      </c>
      <c r="BY14" s="207">
        <v>159125.99451754062</v>
      </c>
      <c r="BZ14" s="207">
        <v>262773.8022734692</v>
      </c>
      <c r="CA14" s="207">
        <v>75899.24402966545</v>
      </c>
      <c r="CB14" s="207">
        <v>127170.54683329606</v>
      </c>
      <c r="CC14" s="207">
        <v>222.57</v>
      </c>
      <c r="CD14" s="207">
        <v>-34768.76638072978</v>
      </c>
      <c r="CE14" s="207">
        <v>213562.212042378</v>
      </c>
      <c r="CF14" s="207">
        <v>-88527.75678871156</v>
      </c>
      <c r="CG14" s="207">
        <v>129491.94471299577</v>
      </c>
      <c r="CH14" s="207">
        <v>181604.08516710353</v>
      </c>
      <c r="CI14" s="207">
        <v>0</v>
      </c>
      <c r="CJ14" s="207">
        <v>2126871.296571575</v>
      </c>
      <c r="CK14" s="207">
        <v>161584</v>
      </c>
      <c r="CL14" s="207">
        <v>21950.739999999998</v>
      </c>
      <c r="CM14" s="207">
        <v>42265.4</v>
      </c>
      <c r="CN14" s="207">
        <v>-20314.660000000003</v>
      </c>
      <c r="CO14" s="207">
        <v>7958405.190979417</v>
      </c>
      <c r="CP14" s="207">
        <v>8685831.12707498</v>
      </c>
      <c r="CQ14" s="207">
        <v>2499</v>
      </c>
    </row>
    <row r="15" spans="1:95" ht="11.25">
      <c r="A15" s="207">
        <v>61</v>
      </c>
      <c r="B15" s="207" t="s">
        <v>72</v>
      </c>
      <c r="C15" s="207">
        <v>17028</v>
      </c>
      <c r="D15" s="207">
        <v>59773476.050000004</v>
      </c>
      <c r="E15" s="207">
        <v>25338548.32902812</v>
      </c>
      <c r="F15" s="207">
        <v>4313801.648972933</v>
      </c>
      <c r="G15" s="207">
        <v>89425826.02800106</v>
      </c>
      <c r="H15" s="207">
        <v>3664.46</v>
      </c>
      <c r="I15" s="207">
        <v>62398424.88</v>
      </c>
      <c r="J15" s="207">
        <v>27027401.148001052</v>
      </c>
      <c r="K15" s="207">
        <v>957429.538996979</v>
      </c>
      <c r="L15" s="207">
        <v>-1346871.3846300163</v>
      </c>
      <c r="M15" s="207">
        <v>0</v>
      </c>
      <c r="N15" s="207">
        <v>26637959.302368015</v>
      </c>
      <c r="O15" s="207">
        <v>8993241.239502694</v>
      </c>
      <c r="P15" s="207">
        <v>35631200.54187071</v>
      </c>
      <c r="Q15" s="207">
        <v>740</v>
      </c>
      <c r="R15" s="207">
        <v>122</v>
      </c>
      <c r="S15" s="207">
        <v>949</v>
      </c>
      <c r="T15" s="207">
        <v>487</v>
      </c>
      <c r="U15" s="207">
        <v>529</v>
      </c>
      <c r="V15" s="207">
        <v>9093</v>
      </c>
      <c r="W15" s="207">
        <v>2881</v>
      </c>
      <c r="X15" s="207">
        <v>1586</v>
      </c>
      <c r="Y15" s="207">
        <v>641</v>
      </c>
      <c r="Z15" s="207">
        <v>41</v>
      </c>
      <c r="AA15" s="207">
        <v>1</v>
      </c>
      <c r="AB15" s="207">
        <v>16139</v>
      </c>
      <c r="AC15" s="207">
        <v>847</v>
      </c>
      <c r="AD15" s="207">
        <v>5108</v>
      </c>
      <c r="AE15" s="481">
        <v>1.2595132538969438</v>
      </c>
      <c r="AF15" s="207">
        <v>25338548.32902812</v>
      </c>
      <c r="AG15" s="207" t="e">
        <v>#DIV/0!</v>
      </c>
      <c r="AH15" s="207" t="e">
        <v>#DIV/0!</v>
      </c>
      <c r="AI15" s="207" t="e">
        <v>#DIV/0!</v>
      </c>
      <c r="AJ15" s="175">
        <v>787</v>
      </c>
      <c r="AK15" s="175">
        <v>7636</v>
      </c>
      <c r="AL15" s="175">
        <v>1.0564113327894797</v>
      </c>
      <c r="AM15" s="175">
        <v>847</v>
      </c>
      <c r="AN15" s="175">
        <v>0.04974160206718346</v>
      </c>
      <c r="AO15" s="175">
        <v>0.046460522956720464</v>
      </c>
      <c r="AP15" s="175">
        <v>0</v>
      </c>
      <c r="AQ15" s="175">
        <v>41</v>
      </c>
      <c r="AR15" s="175">
        <v>1</v>
      </c>
      <c r="AS15" s="175">
        <v>0</v>
      </c>
      <c r="AT15" s="175">
        <v>0</v>
      </c>
      <c r="AU15" s="175">
        <v>248.76</v>
      </c>
      <c r="AV15" s="175">
        <v>68.45151953690304</v>
      </c>
      <c r="AW15" s="175">
        <v>0.26515879068437637</v>
      </c>
      <c r="AX15" s="175">
        <v>908</v>
      </c>
      <c r="AY15" s="175">
        <v>4718</v>
      </c>
      <c r="AZ15" s="175">
        <v>0.1924544298431539</v>
      </c>
      <c r="BA15" s="175">
        <v>0.1312705937589194</v>
      </c>
      <c r="BB15" s="175">
        <v>0</v>
      </c>
      <c r="BC15" s="207">
        <v>8095</v>
      </c>
      <c r="BD15" s="175">
        <v>6398</v>
      </c>
      <c r="BE15" s="175">
        <v>1.2652391372303844</v>
      </c>
      <c r="BF15" s="175">
        <v>0.8563322546392913</v>
      </c>
      <c r="BG15" s="175">
        <v>0</v>
      </c>
      <c r="BH15" s="175">
        <v>1</v>
      </c>
      <c r="BI15" s="207">
        <v>0</v>
      </c>
      <c r="BJ15" s="207">
        <v>-4086.72</v>
      </c>
      <c r="BK15" s="207">
        <v>-69814.79999999999</v>
      </c>
      <c r="BL15" s="207">
        <v>-4767.84</v>
      </c>
      <c r="BM15" s="207">
        <v>0</v>
      </c>
      <c r="BN15" s="207">
        <v>0</v>
      </c>
      <c r="BO15" s="207">
        <v>482824</v>
      </c>
      <c r="BP15" s="207">
        <v>-1040149.7410287309</v>
      </c>
      <c r="BQ15" s="207">
        <v>-724711.68</v>
      </c>
      <c r="BR15" s="207">
        <v>86203.58749876171</v>
      </c>
      <c r="BS15" s="207">
        <v>1410670</v>
      </c>
      <c r="BT15" s="207">
        <v>454609</v>
      </c>
      <c r="BU15" s="207">
        <v>1074037.505485831</v>
      </c>
      <c r="BV15" s="207">
        <v>51148.73329094706</v>
      </c>
      <c r="BW15" s="207">
        <v>150656.3595286791</v>
      </c>
      <c r="BX15" s="207">
        <v>556585.7054233298</v>
      </c>
      <c r="BY15" s="207">
        <v>915212.8959526116</v>
      </c>
      <c r="BZ15" s="207">
        <v>1382738.1902656096</v>
      </c>
      <c r="CA15" s="207">
        <v>451111.4276717849</v>
      </c>
      <c r="CB15" s="207">
        <v>771945.669483833</v>
      </c>
      <c r="CC15" s="207">
        <v>1532.52</v>
      </c>
      <c r="CD15" s="207">
        <v>174267.8604379583</v>
      </c>
      <c r="CE15" s="207">
        <v>1547116.7163987143</v>
      </c>
      <c r="CF15" s="207">
        <v>-1346871.3846300163</v>
      </c>
      <c r="CG15" s="207">
        <v>785431.0284619944</v>
      </c>
      <c r="CH15" s="207">
        <v>1073432.2666220397</v>
      </c>
      <c r="CI15" s="207">
        <v>0</v>
      </c>
      <c r="CJ15" s="207">
        <v>8993241.239502694</v>
      </c>
      <c r="CK15" s="207">
        <v>843754</v>
      </c>
      <c r="CL15" s="207">
        <v>672360.71</v>
      </c>
      <c r="CM15" s="207">
        <v>332983.182</v>
      </c>
      <c r="CN15" s="207">
        <v>339377.528</v>
      </c>
      <c r="CO15" s="207">
        <v>36474954.54187071</v>
      </c>
      <c r="CP15" s="207">
        <v>40258577.80860715</v>
      </c>
      <c r="CQ15" s="207">
        <v>17185</v>
      </c>
    </row>
    <row r="16" spans="1:95" ht="11.25">
      <c r="A16" s="207">
        <v>69</v>
      </c>
      <c r="B16" s="207" t="s">
        <v>73</v>
      </c>
      <c r="C16" s="207">
        <v>7147</v>
      </c>
      <c r="D16" s="207">
        <v>27021986.849999998</v>
      </c>
      <c r="E16" s="207">
        <v>11725313.73683953</v>
      </c>
      <c r="F16" s="207">
        <v>1531910.8884261488</v>
      </c>
      <c r="G16" s="207">
        <v>40279211.475265674</v>
      </c>
      <c r="H16" s="207">
        <v>3664.46</v>
      </c>
      <c r="I16" s="207">
        <v>26189895.62</v>
      </c>
      <c r="J16" s="207">
        <v>14089315.855265673</v>
      </c>
      <c r="K16" s="207">
        <v>574466.2899042282</v>
      </c>
      <c r="L16" s="207">
        <v>-728088.186536977</v>
      </c>
      <c r="M16" s="207">
        <v>0</v>
      </c>
      <c r="N16" s="207">
        <v>13935693.958632924</v>
      </c>
      <c r="O16" s="207">
        <v>6723393.4280778235</v>
      </c>
      <c r="P16" s="207">
        <v>20659087.386710748</v>
      </c>
      <c r="Q16" s="207">
        <v>464</v>
      </c>
      <c r="R16" s="207">
        <v>89</v>
      </c>
      <c r="S16" s="207">
        <v>582</v>
      </c>
      <c r="T16" s="207">
        <v>312</v>
      </c>
      <c r="U16" s="207">
        <v>310</v>
      </c>
      <c r="V16" s="207">
        <v>3711</v>
      </c>
      <c r="W16" s="207">
        <v>978</v>
      </c>
      <c r="X16" s="207">
        <v>503</v>
      </c>
      <c r="Y16" s="207">
        <v>198</v>
      </c>
      <c r="Z16" s="207">
        <v>9</v>
      </c>
      <c r="AA16" s="207">
        <v>0</v>
      </c>
      <c r="AB16" s="207">
        <v>7017</v>
      </c>
      <c r="AC16" s="207">
        <v>121</v>
      </c>
      <c r="AD16" s="207">
        <v>1679</v>
      </c>
      <c r="AE16" s="481">
        <v>1.3886261624083789</v>
      </c>
      <c r="AF16" s="207">
        <v>11725313.73683953</v>
      </c>
      <c r="AG16" s="207" t="e">
        <v>#DIV/0!</v>
      </c>
      <c r="AH16" s="207" t="e">
        <v>#DIV/0!</v>
      </c>
      <c r="AI16" s="207" t="e">
        <v>#DIV/0!</v>
      </c>
      <c r="AJ16" s="175">
        <v>229</v>
      </c>
      <c r="AK16" s="175">
        <v>3004</v>
      </c>
      <c r="AL16" s="175">
        <v>0.7813755055158673</v>
      </c>
      <c r="AM16" s="175">
        <v>121</v>
      </c>
      <c r="AN16" s="175">
        <v>0.016930180495312717</v>
      </c>
      <c r="AO16" s="175">
        <v>0.013649101384849722</v>
      </c>
      <c r="AP16" s="175">
        <v>0</v>
      </c>
      <c r="AQ16" s="175">
        <v>9</v>
      </c>
      <c r="AR16" s="175">
        <v>0</v>
      </c>
      <c r="AS16" s="175">
        <v>0</v>
      </c>
      <c r="AT16" s="175">
        <v>0</v>
      </c>
      <c r="AU16" s="175">
        <v>766.18</v>
      </c>
      <c r="AV16" s="175">
        <v>9.328095225664988</v>
      </c>
      <c r="AW16" s="175">
        <v>1.9457908288687356</v>
      </c>
      <c r="AX16" s="175">
        <v>301</v>
      </c>
      <c r="AY16" s="175">
        <v>1957</v>
      </c>
      <c r="AZ16" s="175">
        <v>0.1538068472151252</v>
      </c>
      <c r="BA16" s="175">
        <v>0.09262301113089069</v>
      </c>
      <c r="BB16" s="175">
        <v>0.168916</v>
      </c>
      <c r="BC16" s="207">
        <v>2841</v>
      </c>
      <c r="BD16" s="175">
        <v>2639</v>
      </c>
      <c r="BE16" s="175">
        <v>1.0765441455096627</v>
      </c>
      <c r="BF16" s="175">
        <v>0.6676372629185696</v>
      </c>
      <c r="BG16" s="175">
        <v>0</v>
      </c>
      <c r="BH16" s="175">
        <v>0</v>
      </c>
      <c r="BI16" s="207">
        <v>0</v>
      </c>
      <c r="BJ16" s="207">
        <v>-1715.28</v>
      </c>
      <c r="BK16" s="207">
        <v>-29302.699999999997</v>
      </c>
      <c r="BL16" s="207">
        <v>-2001.16</v>
      </c>
      <c r="BM16" s="207">
        <v>0</v>
      </c>
      <c r="BN16" s="207">
        <v>0</v>
      </c>
      <c r="BO16" s="207">
        <v>4482</v>
      </c>
      <c r="BP16" s="207">
        <v>-207133.97192495762</v>
      </c>
      <c r="BQ16" s="207">
        <v>-304176.32</v>
      </c>
      <c r="BR16" s="207">
        <v>-113460.30353241414</v>
      </c>
      <c r="BS16" s="207">
        <v>673244</v>
      </c>
      <c r="BT16" s="207">
        <v>206380</v>
      </c>
      <c r="BU16" s="207">
        <v>508460.5721752701</v>
      </c>
      <c r="BV16" s="207">
        <v>25606.347000850088</v>
      </c>
      <c r="BW16" s="207">
        <v>17551.09041727703</v>
      </c>
      <c r="BX16" s="207">
        <v>266734.2517578432</v>
      </c>
      <c r="BY16" s="207">
        <v>405559.0589041466</v>
      </c>
      <c r="BZ16" s="207">
        <v>652159.7036758711</v>
      </c>
      <c r="CA16" s="207">
        <v>173760.4940445491</v>
      </c>
      <c r="CB16" s="207">
        <v>335303.7363628708</v>
      </c>
      <c r="CC16" s="207">
        <v>643.23</v>
      </c>
      <c r="CD16" s="207">
        <v>4625.103546274266</v>
      </c>
      <c r="CE16" s="207">
        <v>257139.67538798068</v>
      </c>
      <c r="CF16" s="207">
        <v>-728088.186536977</v>
      </c>
      <c r="CG16" s="207">
        <v>353774.11537412053</v>
      </c>
      <c r="CH16" s="207">
        <v>472414.50828644726</v>
      </c>
      <c r="CI16" s="207">
        <v>0</v>
      </c>
      <c r="CJ16" s="207">
        <v>6723393.4280778235</v>
      </c>
      <c r="CK16" s="207">
        <v>497885</v>
      </c>
      <c r="CL16" s="207">
        <v>353188.7700000001</v>
      </c>
      <c r="CM16" s="207">
        <v>67106.548</v>
      </c>
      <c r="CN16" s="207">
        <v>286082.22200000007</v>
      </c>
      <c r="CO16" s="207">
        <v>21156972.386710748</v>
      </c>
      <c r="CP16" s="207">
        <v>23032800.62311954</v>
      </c>
      <c r="CQ16" s="207">
        <v>7251</v>
      </c>
    </row>
    <row r="17" spans="1:95" ht="11.25">
      <c r="A17" s="207">
        <v>71</v>
      </c>
      <c r="B17" s="207" t="s">
        <v>74</v>
      </c>
      <c r="C17" s="207">
        <v>6854</v>
      </c>
      <c r="D17" s="207">
        <v>26660032.930000003</v>
      </c>
      <c r="E17" s="207">
        <v>11261963.41669221</v>
      </c>
      <c r="F17" s="207">
        <v>1652345.2199395467</v>
      </c>
      <c r="G17" s="207">
        <v>39574341.56663176</v>
      </c>
      <c r="H17" s="207">
        <v>3664.46</v>
      </c>
      <c r="I17" s="207">
        <v>25116208.84</v>
      </c>
      <c r="J17" s="207">
        <v>14458132.726631757</v>
      </c>
      <c r="K17" s="207">
        <v>695083.8206825786</v>
      </c>
      <c r="L17" s="207">
        <v>-616827.342851649</v>
      </c>
      <c r="M17" s="207">
        <v>0</v>
      </c>
      <c r="N17" s="207">
        <v>14536389.204462685</v>
      </c>
      <c r="O17" s="207">
        <v>7020638.194511344</v>
      </c>
      <c r="P17" s="207">
        <v>21557027.398974027</v>
      </c>
      <c r="Q17" s="207">
        <v>519</v>
      </c>
      <c r="R17" s="207">
        <v>101</v>
      </c>
      <c r="S17" s="207">
        <v>599</v>
      </c>
      <c r="T17" s="207">
        <v>302</v>
      </c>
      <c r="U17" s="207">
        <v>308</v>
      </c>
      <c r="V17" s="207">
        <v>3496</v>
      </c>
      <c r="W17" s="207">
        <v>883</v>
      </c>
      <c r="X17" s="207">
        <v>463</v>
      </c>
      <c r="Y17" s="207">
        <v>183</v>
      </c>
      <c r="Z17" s="207">
        <v>2</v>
      </c>
      <c r="AA17" s="207">
        <v>2</v>
      </c>
      <c r="AB17" s="207">
        <v>6757</v>
      </c>
      <c r="AC17" s="207">
        <v>93</v>
      </c>
      <c r="AD17" s="207">
        <v>1529</v>
      </c>
      <c r="AE17" s="481">
        <v>1.3907679232022188</v>
      </c>
      <c r="AF17" s="207">
        <v>11261963.41669221</v>
      </c>
      <c r="AG17" s="207" t="e">
        <v>#DIV/0!</v>
      </c>
      <c r="AH17" s="207" t="e">
        <v>#DIV/0!</v>
      </c>
      <c r="AI17" s="207" t="e">
        <v>#DIV/0!</v>
      </c>
      <c r="AJ17" s="175">
        <v>272</v>
      </c>
      <c r="AK17" s="175">
        <v>2931</v>
      </c>
      <c r="AL17" s="175">
        <v>0.9512120087350384</v>
      </c>
      <c r="AM17" s="175">
        <v>93</v>
      </c>
      <c r="AN17" s="175">
        <v>0.013568718996206595</v>
      </c>
      <c r="AO17" s="175">
        <v>0.010287639885743598</v>
      </c>
      <c r="AP17" s="175">
        <v>0</v>
      </c>
      <c r="AQ17" s="175">
        <v>2</v>
      </c>
      <c r="AR17" s="175">
        <v>2</v>
      </c>
      <c r="AS17" s="175">
        <v>0</v>
      </c>
      <c r="AT17" s="175">
        <v>0</v>
      </c>
      <c r="AU17" s="175">
        <v>1049.82</v>
      </c>
      <c r="AV17" s="175">
        <v>6.528738259892172</v>
      </c>
      <c r="AW17" s="175">
        <v>2.780096462499776</v>
      </c>
      <c r="AX17" s="175">
        <v>213</v>
      </c>
      <c r="AY17" s="175">
        <v>1843</v>
      </c>
      <c r="AZ17" s="175">
        <v>0.1155724362452523</v>
      </c>
      <c r="BA17" s="175">
        <v>0.05438860016101781</v>
      </c>
      <c r="BB17" s="175">
        <v>0.277066</v>
      </c>
      <c r="BC17" s="207">
        <v>2616</v>
      </c>
      <c r="BD17" s="175">
        <v>2514</v>
      </c>
      <c r="BE17" s="175">
        <v>1.0405727923627686</v>
      </c>
      <c r="BF17" s="175">
        <v>0.6316659097716755</v>
      </c>
      <c r="BG17" s="175">
        <v>0</v>
      </c>
      <c r="BH17" s="175">
        <v>2</v>
      </c>
      <c r="BI17" s="207">
        <v>0</v>
      </c>
      <c r="BJ17" s="207">
        <v>-1644.96</v>
      </c>
      <c r="BK17" s="207">
        <v>-28101.399999999998</v>
      </c>
      <c r="BL17" s="207">
        <v>-1919.1200000000001</v>
      </c>
      <c r="BM17" s="207">
        <v>0</v>
      </c>
      <c r="BN17" s="207">
        <v>0</v>
      </c>
      <c r="BO17" s="207">
        <v>-163632</v>
      </c>
      <c r="BP17" s="207">
        <v>-69798.66716440424</v>
      </c>
      <c r="BQ17" s="207">
        <v>-291706.24</v>
      </c>
      <c r="BR17" s="207">
        <v>-11546.944741975516</v>
      </c>
      <c r="BS17" s="207">
        <v>634501</v>
      </c>
      <c r="BT17" s="207">
        <v>212191</v>
      </c>
      <c r="BU17" s="207">
        <v>544020.7642299961</v>
      </c>
      <c r="BV17" s="207">
        <v>27631.80870777018</v>
      </c>
      <c r="BW17" s="207">
        <v>55173.66513559559</v>
      </c>
      <c r="BX17" s="207">
        <v>266304.3682504167</v>
      </c>
      <c r="BY17" s="207">
        <v>385249.7227873716</v>
      </c>
      <c r="BZ17" s="207">
        <v>604374.3985771033</v>
      </c>
      <c r="CA17" s="207">
        <v>179116.97758029238</v>
      </c>
      <c r="CB17" s="207">
        <v>325294.08349442657</v>
      </c>
      <c r="CC17" s="207">
        <v>616.86</v>
      </c>
      <c r="CD17" s="207">
        <v>19359.71760468343</v>
      </c>
      <c r="CE17" s="207">
        <v>199166.30431275518</v>
      </c>
      <c r="CF17" s="207">
        <v>-616827.342851649</v>
      </c>
      <c r="CG17" s="207">
        <v>347583.21145004727</v>
      </c>
      <c r="CH17" s="207">
        <v>478022.1692223111</v>
      </c>
      <c r="CI17" s="207">
        <v>0</v>
      </c>
      <c r="CJ17" s="207">
        <v>7020638.194511344</v>
      </c>
      <c r="CK17" s="207">
        <v>117744</v>
      </c>
      <c r="CL17" s="207">
        <v>201783.2</v>
      </c>
      <c r="CM17" s="207">
        <v>155427.60000000003</v>
      </c>
      <c r="CN17" s="207">
        <v>46355.59999999998</v>
      </c>
      <c r="CO17" s="207">
        <v>21674771.398974027</v>
      </c>
      <c r="CP17" s="207">
        <v>24258113.040708676</v>
      </c>
      <c r="CQ17" s="207">
        <v>6970</v>
      </c>
    </row>
    <row r="18" spans="1:95" ht="11.25">
      <c r="A18" s="207">
        <v>72</v>
      </c>
      <c r="B18" s="207" t="s">
        <v>75</v>
      </c>
      <c r="C18" s="207">
        <v>974</v>
      </c>
      <c r="D18" s="207">
        <v>3484592.03</v>
      </c>
      <c r="E18" s="207">
        <v>1521536.3895775902</v>
      </c>
      <c r="F18" s="207">
        <v>1391981.6541933783</v>
      </c>
      <c r="G18" s="207">
        <v>6398110.073770968</v>
      </c>
      <c r="H18" s="207">
        <v>3664.46</v>
      </c>
      <c r="I18" s="207">
        <v>3569184.04</v>
      </c>
      <c r="J18" s="207">
        <v>2828926.033770968</v>
      </c>
      <c r="K18" s="207">
        <v>195601.43318838993</v>
      </c>
      <c r="L18" s="207">
        <v>1711.405249168849</v>
      </c>
      <c r="M18" s="207">
        <v>0</v>
      </c>
      <c r="N18" s="207">
        <v>3026238.872208527</v>
      </c>
      <c r="O18" s="207">
        <v>452719.6105379551</v>
      </c>
      <c r="P18" s="207">
        <v>3478958.482746482</v>
      </c>
      <c r="Q18" s="207">
        <v>55</v>
      </c>
      <c r="R18" s="207">
        <v>5</v>
      </c>
      <c r="S18" s="207">
        <v>59</v>
      </c>
      <c r="T18" s="207">
        <v>20</v>
      </c>
      <c r="U18" s="207">
        <v>18</v>
      </c>
      <c r="V18" s="207">
        <v>451</v>
      </c>
      <c r="W18" s="207">
        <v>213</v>
      </c>
      <c r="X18" s="207">
        <v>122</v>
      </c>
      <c r="Y18" s="207">
        <v>31</v>
      </c>
      <c r="Z18" s="207">
        <v>0</v>
      </c>
      <c r="AA18" s="207">
        <v>0</v>
      </c>
      <c r="AB18" s="207">
        <v>959</v>
      </c>
      <c r="AC18" s="207">
        <v>15</v>
      </c>
      <c r="AD18" s="207">
        <v>366</v>
      </c>
      <c r="AE18" s="481">
        <v>1.3222331462996129</v>
      </c>
      <c r="AF18" s="207">
        <v>1521536.3895775902</v>
      </c>
      <c r="AG18" s="207" t="e">
        <v>#DIV/0!</v>
      </c>
      <c r="AH18" s="207" t="e">
        <v>#DIV/0!</v>
      </c>
      <c r="AI18" s="207" t="e">
        <v>#DIV/0!</v>
      </c>
      <c r="AJ18" s="175">
        <v>29</v>
      </c>
      <c r="AK18" s="175">
        <v>382</v>
      </c>
      <c r="AL18" s="175">
        <v>0.778142030436456</v>
      </c>
      <c r="AM18" s="175">
        <v>15</v>
      </c>
      <c r="AN18" s="175">
        <v>0.015400410677618069</v>
      </c>
      <c r="AO18" s="175">
        <v>0.012119331567155073</v>
      </c>
      <c r="AP18" s="175">
        <v>0</v>
      </c>
      <c r="AQ18" s="175">
        <v>0</v>
      </c>
      <c r="AR18" s="175">
        <v>0</v>
      </c>
      <c r="AS18" s="175">
        <v>2</v>
      </c>
      <c r="AT18" s="175">
        <v>0</v>
      </c>
      <c r="AU18" s="175">
        <v>201.47</v>
      </c>
      <c r="AV18" s="175">
        <v>4.834466669975678</v>
      </c>
      <c r="AW18" s="175">
        <v>3.754400098285192</v>
      </c>
      <c r="AX18" s="175">
        <v>24</v>
      </c>
      <c r="AY18" s="175">
        <v>247</v>
      </c>
      <c r="AZ18" s="175">
        <v>0.09716599190283401</v>
      </c>
      <c r="BA18" s="175">
        <v>0.035982155818599516</v>
      </c>
      <c r="BB18" s="175">
        <v>0.827266</v>
      </c>
      <c r="BC18" s="207">
        <v>250</v>
      </c>
      <c r="BD18" s="175">
        <v>337</v>
      </c>
      <c r="BE18" s="175">
        <v>0.7418397626112759</v>
      </c>
      <c r="BF18" s="175">
        <v>0.33293288002018284</v>
      </c>
      <c r="BG18" s="175">
        <v>0</v>
      </c>
      <c r="BH18" s="175">
        <v>0</v>
      </c>
      <c r="BI18" s="207">
        <v>0</v>
      </c>
      <c r="BJ18" s="207">
        <v>-233.76</v>
      </c>
      <c r="BK18" s="207">
        <v>-3993.3999999999996</v>
      </c>
      <c r="BL18" s="207">
        <v>-272.72</v>
      </c>
      <c r="BM18" s="207">
        <v>0</v>
      </c>
      <c r="BN18" s="207">
        <v>0</v>
      </c>
      <c r="BO18" s="207">
        <v>15733</v>
      </c>
      <c r="BP18" s="207">
        <v>-15013.089886326215</v>
      </c>
      <c r="BQ18" s="207">
        <v>-41453.44</v>
      </c>
      <c r="BR18" s="207">
        <v>41680.04681260092</v>
      </c>
      <c r="BS18" s="207">
        <v>91944</v>
      </c>
      <c r="BT18" s="207">
        <v>29110</v>
      </c>
      <c r="BU18" s="207">
        <v>64666.662457567494</v>
      </c>
      <c r="BV18" s="207">
        <v>2692.481337280261</v>
      </c>
      <c r="BW18" s="207">
        <v>2749.036578336676</v>
      </c>
      <c r="BX18" s="207">
        <v>30690.44953189687</v>
      </c>
      <c r="BY18" s="207">
        <v>42842.84598806375</v>
      </c>
      <c r="BZ18" s="207">
        <v>82798.02735515137</v>
      </c>
      <c r="CA18" s="207">
        <v>22645.889351010537</v>
      </c>
      <c r="CB18" s="207">
        <v>41418.5949413645</v>
      </c>
      <c r="CC18" s="207">
        <v>87.66</v>
      </c>
      <c r="CD18" s="207">
        <v>8104.021469051028</v>
      </c>
      <c r="CE18" s="207">
        <v>122763.87513549507</v>
      </c>
      <c r="CF18" s="207">
        <v>1711.405249168849</v>
      </c>
      <c r="CG18" s="207">
        <v>56194.88685384311</v>
      </c>
      <c r="CH18" s="207">
        <v>56660.811658229075</v>
      </c>
      <c r="CI18" s="207">
        <v>0</v>
      </c>
      <c r="CJ18" s="207">
        <v>452719.6105379551</v>
      </c>
      <c r="CK18" s="207">
        <v>-170635</v>
      </c>
      <c r="CL18" s="207">
        <v>0</v>
      </c>
      <c r="CM18" s="207">
        <v>0</v>
      </c>
      <c r="CN18" s="207">
        <v>0</v>
      </c>
      <c r="CO18" s="207">
        <v>3308323.482746482</v>
      </c>
      <c r="CP18" s="207">
        <v>3383818.6813888038</v>
      </c>
      <c r="CQ18" s="207">
        <v>967</v>
      </c>
    </row>
    <row r="19" spans="1:95" ht="11.25">
      <c r="A19" s="207">
        <v>74</v>
      </c>
      <c r="B19" s="207" t="s">
        <v>76</v>
      </c>
      <c r="C19" s="207">
        <v>1165</v>
      </c>
      <c r="D19" s="207">
        <v>4474244.5</v>
      </c>
      <c r="E19" s="207">
        <v>1872465.4119960838</v>
      </c>
      <c r="F19" s="207">
        <v>493139.367003945</v>
      </c>
      <c r="G19" s="207">
        <v>6839849.279000028</v>
      </c>
      <c r="H19" s="207">
        <v>3664.46</v>
      </c>
      <c r="I19" s="207">
        <v>4269095.9</v>
      </c>
      <c r="J19" s="207">
        <v>2570753.3790000277</v>
      </c>
      <c r="K19" s="207">
        <v>257557.57540617074</v>
      </c>
      <c r="L19" s="207">
        <v>-51438.62346309128</v>
      </c>
      <c r="M19" s="207">
        <v>0</v>
      </c>
      <c r="N19" s="207">
        <v>2776872.330943107</v>
      </c>
      <c r="O19" s="207">
        <v>1143366.0929842403</v>
      </c>
      <c r="P19" s="207">
        <v>3920238.423927347</v>
      </c>
      <c r="Q19" s="207">
        <v>51</v>
      </c>
      <c r="R19" s="207">
        <v>14</v>
      </c>
      <c r="S19" s="207">
        <v>64</v>
      </c>
      <c r="T19" s="207">
        <v>35</v>
      </c>
      <c r="U19" s="207">
        <v>42</v>
      </c>
      <c r="V19" s="207">
        <v>567</v>
      </c>
      <c r="W19" s="207">
        <v>210</v>
      </c>
      <c r="X19" s="207">
        <v>127</v>
      </c>
      <c r="Y19" s="207">
        <v>55</v>
      </c>
      <c r="Z19" s="207">
        <v>9</v>
      </c>
      <c r="AA19" s="207">
        <v>0</v>
      </c>
      <c r="AB19" s="207">
        <v>1115</v>
      </c>
      <c r="AC19" s="207">
        <v>41</v>
      </c>
      <c r="AD19" s="207">
        <v>392</v>
      </c>
      <c r="AE19" s="481">
        <v>1.3604185095139938</v>
      </c>
      <c r="AF19" s="207">
        <v>1872465.4119960838</v>
      </c>
      <c r="AG19" s="207" t="e">
        <v>#DIV/0!</v>
      </c>
      <c r="AH19" s="207" t="e">
        <v>#DIV/0!</v>
      </c>
      <c r="AI19" s="207" t="e">
        <v>#DIV/0!</v>
      </c>
      <c r="AJ19" s="175">
        <v>31</v>
      </c>
      <c r="AK19" s="175">
        <v>493</v>
      </c>
      <c r="AL19" s="175">
        <v>0.644523880844129</v>
      </c>
      <c r="AM19" s="175">
        <v>41</v>
      </c>
      <c r="AN19" s="175">
        <v>0.0351931330472103</v>
      </c>
      <c r="AO19" s="175">
        <v>0.0319120539367473</v>
      </c>
      <c r="AP19" s="175">
        <v>0</v>
      </c>
      <c r="AQ19" s="175">
        <v>9</v>
      </c>
      <c r="AR19" s="175">
        <v>0</v>
      </c>
      <c r="AS19" s="175">
        <v>0</v>
      </c>
      <c r="AT19" s="175">
        <v>0</v>
      </c>
      <c r="AU19" s="175">
        <v>413.02</v>
      </c>
      <c r="AV19" s="175">
        <v>2.8206866495569223</v>
      </c>
      <c r="AW19" s="175">
        <v>6.434788544755329</v>
      </c>
      <c r="AX19" s="175">
        <v>49</v>
      </c>
      <c r="AY19" s="175">
        <v>292</v>
      </c>
      <c r="AZ19" s="175">
        <v>0.1678082191780822</v>
      </c>
      <c r="BA19" s="175">
        <v>0.1066243830938477</v>
      </c>
      <c r="BB19" s="175">
        <v>0.861433</v>
      </c>
      <c r="BC19" s="207">
        <v>422</v>
      </c>
      <c r="BD19" s="175">
        <v>450</v>
      </c>
      <c r="BE19" s="175">
        <v>0.9377777777777778</v>
      </c>
      <c r="BF19" s="175">
        <v>0.5288708951866847</v>
      </c>
      <c r="BG19" s="175">
        <v>0</v>
      </c>
      <c r="BH19" s="175">
        <v>0</v>
      </c>
      <c r="BI19" s="207">
        <v>0</v>
      </c>
      <c r="BJ19" s="207">
        <v>-279.59999999999997</v>
      </c>
      <c r="BK19" s="207">
        <v>-4776.5</v>
      </c>
      <c r="BL19" s="207">
        <v>-326.20000000000005</v>
      </c>
      <c r="BM19" s="207">
        <v>0</v>
      </c>
      <c r="BN19" s="207">
        <v>0</v>
      </c>
      <c r="BO19" s="207">
        <v>-19165</v>
      </c>
      <c r="BP19" s="207">
        <v>-6686.180314629561</v>
      </c>
      <c r="BQ19" s="207">
        <v>-49582.4</v>
      </c>
      <c r="BR19" s="207">
        <v>55446.229112515226</v>
      </c>
      <c r="BS19" s="207">
        <v>134532</v>
      </c>
      <c r="BT19" s="207">
        <v>43901</v>
      </c>
      <c r="BU19" s="207">
        <v>113348.03837721006</v>
      </c>
      <c r="BV19" s="207">
        <v>6717.396987965677</v>
      </c>
      <c r="BW19" s="207">
        <v>-22207.792950525472</v>
      </c>
      <c r="BX19" s="207">
        <v>47988.048405878326</v>
      </c>
      <c r="BY19" s="207">
        <v>78960.37039101298</v>
      </c>
      <c r="BZ19" s="207">
        <v>126139.30799040805</v>
      </c>
      <c r="CA19" s="207">
        <v>43112.16629393451</v>
      </c>
      <c r="CB19" s="207">
        <v>69397.4331890611</v>
      </c>
      <c r="CC19" s="207">
        <v>104.85</v>
      </c>
      <c r="CD19" s="207">
        <v>-15533.024305639843</v>
      </c>
      <c r="CE19" s="207">
        <v>82081.10685153828</v>
      </c>
      <c r="CF19" s="207">
        <v>-51438.62346309128</v>
      </c>
      <c r="CG19" s="207">
        <v>60074.70204466289</v>
      </c>
      <c r="CH19" s="207">
        <v>98936.54717811818</v>
      </c>
      <c r="CI19" s="207">
        <v>0</v>
      </c>
      <c r="CJ19" s="207">
        <v>1143366.0929842403</v>
      </c>
      <c r="CK19" s="207">
        <v>-249751</v>
      </c>
      <c r="CL19" s="207">
        <v>6817</v>
      </c>
      <c r="CM19" s="207">
        <v>6817</v>
      </c>
      <c r="CN19" s="207">
        <v>0</v>
      </c>
      <c r="CO19" s="207">
        <v>3670487.423927347</v>
      </c>
      <c r="CP19" s="207">
        <v>4098372.595858327</v>
      </c>
      <c r="CQ19" s="207">
        <v>1171</v>
      </c>
    </row>
    <row r="20" spans="1:95" ht="11.25">
      <c r="A20" s="207">
        <v>75</v>
      </c>
      <c r="B20" s="207" t="s">
        <v>77</v>
      </c>
      <c r="C20" s="207">
        <v>20286</v>
      </c>
      <c r="D20" s="207">
        <v>72259665.81</v>
      </c>
      <c r="E20" s="207">
        <v>27303782.160501353</v>
      </c>
      <c r="F20" s="207">
        <v>5549758.592697517</v>
      </c>
      <c r="G20" s="207">
        <v>105113206.56319888</v>
      </c>
      <c r="H20" s="207">
        <v>3664.46</v>
      </c>
      <c r="I20" s="207">
        <v>74337235.56</v>
      </c>
      <c r="J20" s="207">
        <v>30775971.003198877</v>
      </c>
      <c r="K20" s="207">
        <v>584232.8255898928</v>
      </c>
      <c r="L20" s="207">
        <v>-1669509.463208463</v>
      </c>
      <c r="M20" s="207">
        <v>0</v>
      </c>
      <c r="N20" s="207">
        <v>29690694.365580305</v>
      </c>
      <c r="O20" s="207">
        <v>4243102.184613886</v>
      </c>
      <c r="P20" s="207">
        <v>33933796.55019419</v>
      </c>
      <c r="Q20" s="207">
        <v>888</v>
      </c>
      <c r="R20" s="207">
        <v>189</v>
      </c>
      <c r="S20" s="207">
        <v>1195</v>
      </c>
      <c r="T20" s="207">
        <v>623</v>
      </c>
      <c r="U20" s="207">
        <v>654</v>
      </c>
      <c r="V20" s="207">
        <v>10873</v>
      </c>
      <c r="W20" s="207">
        <v>3251</v>
      </c>
      <c r="X20" s="207">
        <v>1849</v>
      </c>
      <c r="Y20" s="207">
        <v>764</v>
      </c>
      <c r="Z20" s="207">
        <v>71</v>
      </c>
      <c r="AA20" s="207">
        <v>0</v>
      </c>
      <c r="AB20" s="207">
        <v>18994</v>
      </c>
      <c r="AC20" s="207">
        <v>1221</v>
      </c>
      <c r="AD20" s="207">
        <v>5864</v>
      </c>
      <c r="AE20" s="481">
        <v>1.1392290283021669</v>
      </c>
      <c r="AF20" s="207">
        <v>27303782.160501353</v>
      </c>
      <c r="AG20" s="207" t="e">
        <v>#DIV/0!</v>
      </c>
      <c r="AH20" s="207" t="e">
        <v>#DIV/0!</v>
      </c>
      <c r="AI20" s="207" t="e">
        <v>#DIV/0!</v>
      </c>
      <c r="AJ20" s="175">
        <v>994</v>
      </c>
      <c r="AK20" s="175">
        <v>9035</v>
      </c>
      <c r="AL20" s="175">
        <v>1.127671141320023</v>
      </c>
      <c r="AM20" s="175">
        <v>1221</v>
      </c>
      <c r="AN20" s="175">
        <v>0.060189293108547766</v>
      </c>
      <c r="AO20" s="175">
        <v>0.05690821399808477</v>
      </c>
      <c r="AP20" s="175">
        <v>0</v>
      </c>
      <c r="AQ20" s="175">
        <v>71</v>
      </c>
      <c r="AR20" s="175">
        <v>0</v>
      </c>
      <c r="AS20" s="175">
        <v>0</v>
      </c>
      <c r="AT20" s="175">
        <v>0</v>
      </c>
      <c r="AU20" s="175">
        <v>609.8</v>
      </c>
      <c r="AV20" s="175">
        <v>33.26664480157429</v>
      </c>
      <c r="AW20" s="175">
        <v>0.5456072365931603</v>
      </c>
      <c r="AX20" s="175">
        <v>894</v>
      </c>
      <c r="AY20" s="175">
        <v>6063</v>
      </c>
      <c r="AZ20" s="175">
        <v>0.14745175655616033</v>
      </c>
      <c r="BA20" s="175">
        <v>0.08626792047192583</v>
      </c>
      <c r="BB20" s="175">
        <v>0</v>
      </c>
      <c r="BC20" s="207">
        <v>6409</v>
      </c>
      <c r="BD20" s="175">
        <v>7562</v>
      </c>
      <c r="BE20" s="175">
        <v>0.8475271092303623</v>
      </c>
      <c r="BF20" s="175">
        <v>0.43862022663926925</v>
      </c>
      <c r="BG20" s="175">
        <v>0</v>
      </c>
      <c r="BH20" s="175">
        <v>0</v>
      </c>
      <c r="BI20" s="207">
        <v>0</v>
      </c>
      <c r="BJ20" s="207">
        <v>-4868.639999999999</v>
      </c>
      <c r="BK20" s="207">
        <v>-83172.59999999999</v>
      </c>
      <c r="BL20" s="207">
        <v>-5680.080000000001</v>
      </c>
      <c r="BM20" s="207">
        <v>0</v>
      </c>
      <c r="BN20" s="207">
        <v>0</v>
      </c>
      <c r="BO20" s="207">
        <v>392114</v>
      </c>
      <c r="BP20" s="207">
        <v>-891907.7634230434</v>
      </c>
      <c r="BQ20" s="207">
        <v>-863372.16</v>
      </c>
      <c r="BR20" s="207">
        <v>23925.74176903814</v>
      </c>
      <c r="BS20" s="207">
        <v>1568738</v>
      </c>
      <c r="BT20" s="207">
        <v>487407</v>
      </c>
      <c r="BU20" s="207">
        <v>1128575.9968275034</v>
      </c>
      <c r="BV20" s="207">
        <v>45002.87181555037</v>
      </c>
      <c r="BW20" s="207">
        <v>86422.8722369255</v>
      </c>
      <c r="BX20" s="207">
        <v>566255.6106364303</v>
      </c>
      <c r="BY20" s="207">
        <v>942635.9640092317</v>
      </c>
      <c r="BZ20" s="207">
        <v>1584026.0242622562</v>
      </c>
      <c r="CA20" s="207">
        <v>445115.1609238217</v>
      </c>
      <c r="CB20" s="207">
        <v>809673.0418329524</v>
      </c>
      <c r="CC20" s="207">
        <v>1825.74</v>
      </c>
      <c r="CD20" s="207">
        <v>69772.50531988277</v>
      </c>
      <c r="CE20" s="207">
        <v>1430935.12021458</v>
      </c>
      <c r="CF20" s="207">
        <v>-1669509.463208463</v>
      </c>
      <c r="CG20" s="207">
        <v>923213.9931256591</v>
      </c>
      <c r="CH20" s="207">
        <v>1120924.821594686</v>
      </c>
      <c r="CI20" s="207">
        <v>0</v>
      </c>
      <c r="CJ20" s="207">
        <v>4243102.184613886</v>
      </c>
      <c r="CK20" s="207">
        <v>-1845113</v>
      </c>
      <c r="CL20" s="207">
        <v>211327</v>
      </c>
      <c r="CM20" s="207">
        <v>245112.05200000003</v>
      </c>
      <c r="CN20" s="207">
        <v>-33785.052000000025</v>
      </c>
      <c r="CO20" s="207">
        <v>32088683.55019419</v>
      </c>
      <c r="CP20" s="207">
        <v>37314636.827580504</v>
      </c>
      <c r="CQ20" s="207">
        <v>20493</v>
      </c>
    </row>
    <row r="21" spans="1:95" ht="11.25">
      <c r="A21" s="207">
        <v>77</v>
      </c>
      <c r="B21" s="207" t="s">
        <v>78</v>
      </c>
      <c r="C21" s="207">
        <v>4939</v>
      </c>
      <c r="D21" s="207">
        <v>18913479.39</v>
      </c>
      <c r="E21" s="207">
        <v>8840350.35720635</v>
      </c>
      <c r="F21" s="207">
        <v>1199535.0153706037</v>
      </c>
      <c r="G21" s="207">
        <v>28953364.762576956</v>
      </c>
      <c r="H21" s="207">
        <v>3664.46</v>
      </c>
      <c r="I21" s="207">
        <v>18098767.94</v>
      </c>
      <c r="J21" s="207">
        <v>10854596.822576955</v>
      </c>
      <c r="K21" s="207">
        <v>300081.27089336026</v>
      </c>
      <c r="L21" s="207">
        <v>-118954.05255288165</v>
      </c>
      <c r="M21" s="207">
        <v>0</v>
      </c>
      <c r="N21" s="207">
        <v>11035724.040917434</v>
      </c>
      <c r="O21" s="207">
        <v>5112815.875988598</v>
      </c>
      <c r="P21" s="207">
        <v>16148539.916906033</v>
      </c>
      <c r="Q21" s="207">
        <v>237</v>
      </c>
      <c r="R21" s="207">
        <v>53</v>
      </c>
      <c r="S21" s="207">
        <v>348</v>
      </c>
      <c r="T21" s="207">
        <v>158</v>
      </c>
      <c r="U21" s="207">
        <v>141</v>
      </c>
      <c r="V21" s="207">
        <v>2518</v>
      </c>
      <c r="W21" s="207">
        <v>800</v>
      </c>
      <c r="X21" s="207">
        <v>463</v>
      </c>
      <c r="Y21" s="207">
        <v>221</v>
      </c>
      <c r="Z21" s="207">
        <v>10</v>
      </c>
      <c r="AA21" s="207">
        <v>0</v>
      </c>
      <c r="AB21" s="207">
        <v>4860</v>
      </c>
      <c r="AC21" s="207">
        <v>69</v>
      </c>
      <c r="AD21" s="207">
        <v>1484</v>
      </c>
      <c r="AE21" s="481">
        <v>1.515008621660855</v>
      </c>
      <c r="AF21" s="207">
        <v>8840350.35720635</v>
      </c>
      <c r="AG21" s="207" t="e">
        <v>#DIV/0!</v>
      </c>
      <c r="AH21" s="207" t="e">
        <v>#DIV/0!</v>
      </c>
      <c r="AI21" s="207" t="e">
        <v>#DIV/0!</v>
      </c>
      <c r="AJ21" s="175">
        <v>231</v>
      </c>
      <c r="AK21" s="175">
        <v>2072</v>
      </c>
      <c r="AL21" s="175">
        <v>1.1427374692080574</v>
      </c>
      <c r="AM21" s="175">
        <v>69</v>
      </c>
      <c r="AN21" s="175">
        <v>0.013970439360194372</v>
      </c>
      <c r="AO21" s="175">
        <v>0.010689360249731376</v>
      </c>
      <c r="AP21" s="175">
        <v>0</v>
      </c>
      <c r="AQ21" s="175">
        <v>10</v>
      </c>
      <c r="AR21" s="175">
        <v>0</v>
      </c>
      <c r="AS21" s="175">
        <v>0</v>
      </c>
      <c r="AT21" s="175">
        <v>0</v>
      </c>
      <c r="AU21" s="175">
        <v>571.69</v>
      </c>
      <c r="AV21" s="175">
        <v>8.639297521383966</v>
      </c>
      <c r="AW21" s="175">
        <v>2.10092569401471</v>
      </c>
      <c r="AX21" s="175">
        <v>189</v>
      </c>
      <c r="AY21" s="175">
        <v>1335</v>
      </c>
      <c r="AZ21" s="175">
        <v>0.14157303370786517</v>
      </c>
      <c r="BA21" s="175">
        <v>0.08038919762363067</v>
      </c>
      <c r="BB21" s="175">
        <v>0.1618</v>
      </c>
      <c r="BC21" s="207">
        <v>1382</v>
      </c>
      <c r="BD21" s="175">
        <v>1725</v>
      </c>
      <c r="BE21" s="175">
        <v>0.8011594202898551</v>
      </c>
      <c r="BF21" s="175">
        <v>0.392252537698762</v>
      </c>
      <c r="BG21" s="175">
        <v>0</v>
      </c>
      <c r="BH21" s="175">
        <v>0</v>
      </c>
      <c r="BI21" s="207">
        <v>0</v>
      </c>
      <c r="BJ21" s="207">
        <v>-1185.36</v>
      </c>
      <c r="BK21" s="207">
        <v>-20249.899999999998</v>
      </c>
      <c r="BL21" s="207">
        <v>-1382.92</v>
      </c>
      <c r="BM21" s="207">
        <v>0</v>
      </c>
      <c r="BN21" s="207">
        <v>0</v>
      </c>
      <c r="BO21" s="207">
        <v>96106</v>
      </c>
      <c r="BP21" s="207">
        <v>-140789.81947998883</v>
      </c>
      <c r="BQ21" s="207">
        <v>-210203.84000000003</v>
      </c>
      <c r="BR21" s="207">
        <v>157787.49098494463</v>
      </c>
      <c r="BS21" s="207">
        <v>567639</v>
      </c>
      <c r="BT21" s="207">
        <v>165760</v>
      </c>
      <c r="BU21" s="207">
        <v>418313.4407374764</v>
      </c>
      <c r="BV21" s="207">
        <v>22899.471769744072</v>
      </c>
      <c r="BW21" s="207">
        <v>68329.26429098393</v>
      </c>
      <c r="BX21" s="207">
        <v>205003.42725285116</v>
      </c>
      <c r="BY21" s="207">
        <v>305523.6082293353</v>
      </c>
      <c r="BZ21" s="207">
        <v>467407.96175449586</v>
      </c>
      <c r="CA21" s="207">
        <v>130242.03157009084</v>
      </c>
      <c r="CB21" s="207">
        <v>244524.13581577002</v>
      </c>
      <c r="CC21" s="207">
        <v>444.51</v>
      </c>
      <c r="CD21" s="207">
        <v>46018.38865324468</v>
      </c>
      <c r="CE21" s="207">
        <v>559544.6969271073</v>
      </c>
      <c r="CF21" s="207">
        <v>-118954.05255288165</v>
      </c>
      <c r="CG21" s="207">
        <v>254298.697288918</v>
      </c>
      <c r="CH21" s="207">
        <v>342177.88131290855</v>
      </c>
      <c r="CI21" s="207">
        <v>0</v>
      </c>
      <c r="CJ21" s="207">
        <v>5112815.875988598</v>
      </c>
      <c r="CK21" s="207">
        <v>35451</v>
      </c>
      <c r="CL21" s="207">
        <v>140634.71</v>
      </c>
      <c r="CM21" s="207">
        <v>62839.106</v>
      </c>
      <c r="CN21" s="207">
        <v>77795.60399999999</v>
      </c>
      <c r="CO21" s="207">
        <v>16183990.916906033</v>
      </c>
      <c r="CP21" s="207">
        <v>18267477.517214395</v>
      </c>
      <c r="CQ21" s="207">
        <v>5019</v>
      </c>
    </row>
    <row r="22" spans="1:95" ht="11.25">
      <c r="A22" s="207">
        <v>78</v>
      </c>
      <c r="B22" s="207" t="s">
        <v>79</v>
      </c>
      <c r="C22" s="207">
        <v>8379</v>
      </c>
      <c r="D22" s="207">
        <v>28222824.57</v>
      </c>
      <c r="E22" s="207">
        <v>9583128.047160594</v>
      </c>
      <c r="F22" s="207">
        <v>3309626.5445806812</v>
      </c>
      <c r="G22" s="207">
        <v>41115579.16174128</v>
      </c>
      <c r="H22" s="207">
        <v>3664.46</v>
      </c>
      <c r="I22" s="207">
        <v>30704510.34</v>
      </c>
      <c r="J22" s="207">
        <v>10411068.82174128</v>
      </c>
      <c r="K22" s="207">
        <v>1231192.078840906</v>
      </c>
      <c r="L22" s="207">
        <v>-656678.8272477959</v>
      </c>
      <c r="M22" s="207">
        <v>0</v>
      </c>
      <c r="N22" s="207">
        <v>10985582.073334388</v>
      </c>
      <c r="O22" s="207">
        <v>-397003.6331080452</v>
      </c>
      <c r="P22" s="207">
        <v>10588578.440226343</v>
      </c>
      <c r="Q22" s="207">
        <v>328</v>
      </c>
      <c r="R22" s="207">
        <v>73</v>
      </c>
      <c r="S22" s="207">
        <v>494</v>
      </c>
      <c r="T22" s="207">
        <v>255</v>
      </c>
      <c r="U22" s="207">
        <v>260</v>
      </c>
      <c r="V22" s="207">
        <v>4344</v>
      </c>
      <c r="W22" s="207">
        <v>1592</v>
      </c>
      <c r="X22" s="207">
        <v>809</v>
      </c>
      <c r="Y22" s="207">
        <v>224</v>
      </c>
      <c r="Z22" s="207">
        <v>3575</v>
      </c>
      <c r="AA22" s="207">
        <v>1</v>
      </c>
      <c r="AB22" s="207">
        <v>4417</v>
      </c>
      <c r="AC22" s="207">
        <v>386</v>
      </c>
      <c r="AD22" s="207">
        <v>2625</v>
      </c>
      <c r="AE22" s="481">
        <v>0.9680543794994089</v>
      </c>
      <c r="AF22" s="207">
        <v>9583128.047160594</v>
      </c>
      <c r="AG22" s="207" t="e">
        <v>#DIV/0!</v>
      </c>
      <c r="AH22" s="207" t="e">
        <v>#DIV/0!</v>
      </c>
      <c r="AI22" s="207" t="e">
        <v>#DIV/0!</v>
      </c>
      <c r="AJ22" s="175">
        <v>361</v>
      </c>
      <c r="AK22" s="175">
        <v>3734</v>
      </c>
      <c r="AL22" s="175">
        <v>0.9909622876572056</v>
      </c>
      <c r="AM22" s="175">
        <v>386</v>
      </c>
      <c r="AN22" s="175">
        <v>0.04606754982694832</v>
      </c>
      <c r="AO22" s="175">
        <v>0.04278647071648532</v>
      </c>
      <c r="AP22" s="175">
        <v>1</v>
      </c>
      <c r="AQ22" s="175">
        <v>3575</v>
      </c>
      <c r="AR22" s="175">
        <v>1</v>
      </c>
      <c r="AS22" s="175">
        <v>0</v>
      </c>
      <c r="AT22" s="175">
        <v>0</v>
      </c>
      <c r="AU22" s="175">
        <v>117.41</v>
      </c>
      <c r="AV22" s="175">
        <v>71.36530108167959</v>
      </c>
      <c r="AW22" s="175">
        <v>0.254332593933001</v>
      </c>
      <c r="AX22" s="175">
        <v>620</v>
      </c>
      <c r="AY22" s="175">
        <v>2483</v>
      </c>
      <c r="AZ22" s="175">
        <v>0.24969794603302456</v>
      </c>
      <c r="BA22" s="175">
        <v>0.18851410994879006</v>
      </c>
      <c r="BB22" s="175">
        <v>0.472016</v>
      </c>
      <c r="BC22" s="207">
        <v>3515</v>
      </c>
      <c r="BD22" s="175">
        <v>3220</v>
      </c>
      <c r="BE22" s="175">
        <v>1.0916149068322982</v>
      </c>
      <c r="BF22" s="175">
        <v>0.6827080242412051</v>
      </c>
      <c r="BG22" s="175">
        <v>0</v>
      </c>
      <c r="BH22" s="175">
        <v>1</v>
      </c>
      <c r="BI22" s="207">
        <v>0</v>
      </c>
      <c r="BJ22" s="207">
        <v>-2010.96</v>
      </c>
      <c r="BK22" s="207">
        <v>-34353.899999999994</v>
      </c>
      <c r="BL22" s="207">
        <v>-2346.1200000000003</v>
      </c>
      <c r="BM22" s="207">
        <v>0</v>
      </c>
      <c r="BN22" s="207">
        <v>0</v>
      </c>
      <c r="BO22" s="207">
        <v>286074</v>
      </c>
      <c r="BP22" s="207">
        <v>-445362.35036709486</v>
      </c>
      <c r="BQ22" s="207">
        <v>-356610.24</v>
      </c>
      <c r="BR22" s="207">
        <v>82923.98256242089</v>
      </c>
      <c r="BS22" s="207">
        <v>656636</v>
      </c>
      <c r="BT22" s="207">
        <v>215300</v>
      </c>
      <c r="BU22" s="207">
        <v>400984.0691540849</v>
      </c>
      <c r="BV22" s="207">
        <v>7536.817691286501</v>
      </c>
      <c r="BW22" s="207">
        <v>13723.005639968009</v>
      </c>
      <c r="BX22" s="207">
        <v>240221.42672180056</v>
      </c>
      <c r="BY22" s="207">
        <v>317595.93887166877</v>
      </c>
      <c r="BZ22" s="207">
        <v>682918.9141502562</v>
      </c>
      <c r="CA22" s="207">
        <v>171481.5886962977</v>
      </c>
      <c r="CB22" s="207">
        <v>327290.6439745335</v>
      </c>
      <c r="CC22" s="207">
        <v>754.11</v>
      </c>
      <c r="CD22" s="207">
        <v>-38262.019603702414</v>
      </c>
      <c r="CE22" s="207">
        <v>700905.253119299</v>
      </c>
      <c r="CF22" s="207">
        <v>-656678.8272477959</v>
      </c>
      <c r="CG22" s="207">
        <v>361119.9701605804</v>
      </c>
      <c r="CH22" s="207">
        <v>416398.9410195742</v>
      </c>
      <c r="CI22" s="207">
        <v>0</v>
      </c>
      <c r="CJ22" s="207">
        <v>-397003.6331080452</v>
      </c>
      <c r="CK22" s="207">
        <v>-539388</v>
      </c>
      <c r="CL22" s="207">
        <v>301584.07999999996</v>
      </c>
      <c r="CM22" s="207">
        <v>199056.4</v>
      </c>
      <c r="CN22" s="207">
        <v>102527.67999999996</v>
      </c>
      <c r="CO22" s="207">
        <v>10049190.440226343</v>
      </c>
      <c r="CP22" s="207">
        <v>12097481.631653577</v>
      </c>
      <c r="CQ22" s="207">
        <v>8517</v>
      </c>
    </row>
    <row r="23" spans="1:95" ht="11.25">
      <c r="A23" s="207">
        <v>79</v>
      </c>
      <c r="B23" s="207" t="s">
        <v>80</v>
      </c>
      <c r="C23" s="207">
        <v>7018</v>
      </c>
      <c r="D23" s="207">
        <v>25852084.96</v>
      </c>
      <c r="E23" s="207">
        <v>9055507.210151616</v>
      </c>
      <c r="F23" s="207">
        <v>1492693.973924582</v>
      </c>
      <c r="G23" s="207">
        <v>36400286.144076206</v>
      </c>
      <c r="H23" s="207">
        <v>3664.46</v>
      </c>
      <c r="I23" s="207">
        <v>25717180.28</v>
      </c>
      <c r="J23" s="207">
        <v>10683105.864076205</v>
      </c>
      <c r="K23" s="207">
        <v>474526.9632993193</v>
      </c>
      <c r="L23" s="207">
        <v>-767010.0861651609</v>
      </c>
      <c r="M23" s="207">
        <v>0</v>
      </c>
      <c r="N23" s="207">
        <v>10390622.741210364</v>
      </c>
      <c r="O23" s="207">
        <v>-1464847.2352859112</v>
      </c>
      <c r="P23" s="207">
        <v>8925775.505924452</v>
      </c>
      <c r="Q23" s="207">
        <v>373</v>
      </c>
      <c r="R23" s="207">
        <v>61</v>
      </c>
      <c r="S23" s="207">
        <v>408</v>
      </c>
      <c r="T23" s="207">
        <v>222</v>
      </c>
      <c r="U23" s="207">
        <v>219</v>
      </c>
      <c r="V23" s="207">
        <v>3569</v>
      </c>
      <c r="W23" s="207">
        <v>1218</v>
      </c>
      <c r="X23" s="207">
        <v>678</v>
      </c>
      <c r="Y23" s="207">
        <v>270</v>
      </c>
      <c r="Z23" s="207">
        <v>12</v>
      </c>
      <c r="AA23" s="207">
        <v>0</v>
      </c>
      <c r="AB23" s="207">
        <v>6780</v>
      </c>
      <c r="AC23" s="207">
        <v>226</v>
      </c>
      <c r="AD23" s="207">
        <v>2166</v>
      </c>
      <c r="AE23" s="481">
        <v>1.0921544765015008</v>
      </c>
      <c r="AF23" s="207">
        <v>9055507.210151616</v>
      </c>
      <c r="AG23" s="207" t="e">
        <v>#DIV/0!</v>
      </c>
      <c r="AH23" s="207" t="e">
        <v>#DIV/0!</v>
      </c>
      <c r="AI23" s="207" t="e">
        <v>#DIV/0!</v>
      </c>
      <c r="AJ23" s="175">
        <v>322</v>
      </c>
      <c r="AK23" s="175">
        <v>2985</v>
      </c>
      <c r="AL23" s="175">
        <v>1.1056960932456057</v>
      </c>
      <c r="AM23" s="175">
        <v>226</v>
      </c>
      <c r="AN23" s="175">
        <v>0.03220290681105728</v>
      </c>
      <c r="AO23" s="175">
        <v>0.028921827700594285</v>
      </c>
      <c r="AP23" s="175">
        <v>0</v>
      </c>
      <c r="AQ23" s="175">
        <v>12</v>
      </c>
      <c r="AR23" s="175">
        <v>0</v>
      </c>
      <c r="AS23" s="175">
        <v>0</v>
      </c>
      <c r="AT23" s="175">
        <v>0</v>
      </c>
      <c r="AU23" s="175">
        <v>123.46</v>
      </c>
      <c r="AV23" s="175">
        <v>56.84432204762676</v>
      </c>
      <c r="AW23" s="175">
        <v>0.3193022889024138</v>
      </c>
      <c r="AX23" s="175">
        <v>327</v>
      </c>
      <c r="AY23" s="175">
        <v>2021</v>
      </c>
      <c r="AZ23" s="175">
        <v>0.16180108857001485</v>
      </c>
      <c r="BA23" s="175">
        <v>0.10061725248578035</v>
      </c>
      <c r="BB23" s="175">
        <v>0</v>
      </c>
      <c r="BC23" s="207">
        <v>3696</v>
      </c>
      <c r="BD23" s="175">
        <v>2569</v>
      </c>
      <c r="BE23" s="175">
        <v>1.438692098092643</v>
      </c>
      <c r="BF23" s="175">
        <v>1.0297852155015499</v>
      </c>
      <c r="BG23" s="175">
        <v>0</v>
      </c>
      <c r="BH23" s="175">
        <v>0</v>
      </c>
      <c r="BI23" s="207">
        <v>0</v>
      </c>
      <c r="BJ23" s="207">
        <v>-1684.32</v>
      </c>
      <c r="BK23" s="207">
        <v>-28773.8</v>
      </c>
      <c r="BL23" s="207">
        <v>-1965.0400000000002</v>
      </c>
      <c r="BM23" s="207">
        <v>0</v>
      </c>
      <c r="BN23" s="207">
        <v>0</v>
      </c>
      <c r="BO23" s="207">
        <v>199711</v>
      </c>
      <c r="BP23" s="207">
        <v>-435115.63102634845</v>
      </c>
      <c r="BQ23" s="207">
        <v>-298686.08</v>
      </c>
      <c r="BR23" s="207">
        <v>93941.89818028547</v>
      </c>
      <c r="BS23" s="207">
        <v>489725</v>
      </c>
      <c r="BT23" s="207">
        <v>169748</v>
      </c>
      <c r="BU23" s="207">
        <v>361767.9968837349</v>
      </c>
      <c r="BV23" s="207">
        <v>17405.703014667208</v>
      </c>
      <c r="BW23" s="207">
        <v>72742.07318975206</v>
      </c>
      <c r="BX23" s="207">
        <v>207561.9031788306</v>
      </c>
      <c r="BY23" s="207">
        <v>316837.43389339</v>
      </c>
      <c r="BZ23" s="207">
        <v>564778.0514717557</v>
      </c>
      <c r="CA23" s="207">
        <v>146060.94627804705</v>
      </c>
      <c r="CB23" s="207">
        <v>278126.9222357134</v>
      </c>
      <c r="CC23" s="207">
        <v>631.62</v>
      </c>
      <c r="CD23" s="207">
        <v>-188782.4740726802</v>
      </c>
      <c r="CE23" s="207">
        <v>432155.20486118767</v>
      </c>
      <c r="CF23" s="207">
        <v>-767010.0861651609</v>
      </c>
      <c r="CG23" s="207">
        <v>319705.3407535824</v>
      </c>
      <c r="CH23" s="207">
        <v>359494.69185851834</v>
      </c>
      <c r="CI23" s="207">
        <v>0</v>
      </c>
      <c r="CJ23" s="207">
        <v>-1464847.2352859112</v>
      </c>
      <c r="CK23" s="207">
        <v>-602304</v>
      </c>
      <c r="CL23" s="207">
        <v>242685.20000000004</v>
      </c>
      <c r="CM23" s="207">
        <v>208245.71600000001</v>
      </c>
      <c r="CN23" s="207">
        <v>34439.484000000026</v>
      </c>
      <c r="CO23" s="207">
        <v>8323471.505924452</v>
      </c>
      <c r="CP23" s="207">
        <v>10019058.780014474</v>
      </c>
      <c r="CQ23" s="207">
        <v>7151</v>
      </c>
    </row>
    <row r="24" spans="1:95" ht="11.25">
      <c r="A24" s="207">
        <v>81</v>
      </c>
      <c r="B24" s="207" t="s">
        <v>81</v>
      </c>
      <c r="C24" s="207">
        <v>2780</v>
      </c>
      <c r="D24" s="207">
        <v>10229927.81</v>
      </c>
      <c r="E24" s="207">
        <v>4395424.808379882</v>
      </c>
      <c r="F24" s="207">
        <v>1005460.1825891493</v>
      </c>
      <c r="G24" s="207">
        <v>15630812.800969033</v>
      </c>
      <c r="H24" s="207">
        <v>3664.46</v>
      </c>
      <c r="I24" s="207">
        <v>10187198.8</v>
      </c>
      <c r="J24" s="207">
        <v>5443614.000969032</v>
      </c>
      <c r="K24" s="207">
        <v>392182.79463312856</v>
      </c>
      <c r="L24" s="207">
        <v>-334141.0556102786</v>
      </c>
      <c r="M24" s="207">
        <v>0</v>
      </c>
      <c r="N24" s="207">
        <v>5501655.739991882</v>
      </c>
      <c r="O24" s="207">
        <v>1804113.9163663525</v>
      </c>
      <c r="P24" s="207">
        <v>7305769.656358235</v>
      </c>
      <c r="Q24" s="207">
        <v>97</v>
      </c>
      <c r="R24" s="207">
        <v>13</v>
      </c>
      <c r="S24" s="207">
        <v>110</v>
      </c>
      <c r="T24" s="207">
        <v>69</v>
      </c>
      <c r="U24" s="207">
        <v>81</v>
      </c>
      <c r="V24" s="207">
        <v>1368</v>
      </c>
      <c r="W24" s="207">
        <v>582</v>
      </c>
      <c r="X24" s="207">
        <v>313</v>
      </c>
      <c r="Y24" s="207">
        <v>147</v>
      </c>
      <c r="Z24" s="207">
        <v>1</v>
      </c>
      <c r="AA24" s="207">
        <v>0</v>
      </c>
      <c r="AB24" s="207">
        <v>2687</v>
      </c>
      <c r="AC24" s="207">
        <v>92</v>
      </c>
      <c r="AD24" s="207">
        <v>1042</v>
      </c>
      <c r="AE24" s="481">
        <v>1.3382606632259537</v>
      </c>
      <c r="AF24" s="207">
        <v>4395424.808379882</v>
      </c>
      <c r="AG24" s="207" t="e">
        <v>#DIV/0!</v>
      </c>
      <c r="AH24" s="207" t="e">
        <v>#DIV/0!</v>
      </c>
      <c r="AI24" s="207" t="e">
        <v>#DIV/0!</v>
      </c>
      <c r="AJ24" s="175">
        <v>122</v>
      </c>
      <c r="AK24" s="175">
        <v>1187</v>
      </c>
      <c r="AL24" s="175">
        <v>1.053497114907492</v>
      </c>
      <c r="AM24" s="175">
        <v>92</v>
      </c>
      <c r="AN24" s="175">
        <v>0.033093525179856115</v>
      </c>
      <c r="AO24" s="175">
        <v>0.02981244606939312</v>
      </c>
      <c r="AP24" s="175">
        <v>0</v>
      </c>
      <c r="AQ24" s="175">
        <v>1</v>
      </c>
      <c r="AR24" s="175">
        <v>0</v>
      </c>
      <c r="AS24" s="175">
        <v>0</v>
      </c>
      <c r="AT24" s="175">
        <v>0</v>
      </c>
      <c r="AU24" s="175">
        <v>542.71</v>
      </c>
      <c r="AV24" s="175">
        <v>5.122441082714525</v>
      </c>
      <c r="AW24" s="175">
        <v>3.5433344860053912</v>
      </c>
      <c r="AX24" s="175">
        <v>153</v>
      </c>
      <c r="AY24" s="175">
        <v>700</v>
      </c>
      <c r="AZ24" s="175">
        <v>0.21857142857142858</v>
      </c>
      <c r="BA24" s="175">
        <v>0.15738759248719408</v>
      </c>
      <c r="BB24" s="175">
        <v>0.4455</v>
      </c>
      <c r="BC24" s="207">
        <v>1106</v>
      </c>
      <c r="BD24" s="175">
        <v>1015</v>
      </c>
      <c r="BE24" s="175">
        <v>1.089655172413793</v>
      </c>
      <c r="BF24" s="175">
        <v>0.6807482898227</v>
      </c>
      <c r="BG24" s="175">
        <v>0</v>
      </c>
      <c r="BH24" s="175">
        <v>0</v>
      </c>
      <c r="BI24" s="207">
        <v>0</v>
      </c>
      <c r="BJ24" s="207">
        <v>-667.1999999999999</v>
      </c>
      <c r="BK24" s="207">
        <v>-11397.999999999998</v>
      </c>
      <c r="BL24" s="207">
        <v>-778.4000000000001</v>
      </c>
      <c r="BM24" s="207">
        <v>0</v>
      </c>
      <c r="BN24" s="207">
        <v>0</v>
      </c>
      <c r="BO24" s="207">
        <v>6856</v>
      </c>
      <c r="BP24" s="207">
        <v>-104760.54486319666</v>
      </c>
      <c r="BQ24" s="207">
        <v>-118316.8</v>
      </c>
      <c r="BR24" s="207">
        <v>-49133.1341699101</v>
      </c>
      <c r="BS24" s="207">
        <v>382259</v>
      </c>
      <c r="BT24" s="207">
        <v>112706</v>
      </c>
      <c r="BU24" s="207">
        <v>280753.0252410473</v>
      </c>
      <c r="BV24" s="207">
        <v>16551.202542072944</v>
      </c>
      <c r="BW24" s="207">
        <v>-34065.64087492219</v>
      </c>
      <c r="BX24" s="207">
        <v>133220.72793783026</v>
      </c>
      <c r="BY24" s="207">
        <v>183270.36904974162</v>
      </c>
      <c r="BZ24" s="207">
        <v>273566.22968570556</v>
      </c>
      <c r="CA24" s="207">
        <v>94944.14539466533</v>
      </c>
      <c r="CB24" s="207">
        <v>153973.46332418438</v>
      </c>
      <c r="CC24" s="207">
        <v>250.2</v>
      </c>
      <c r="CD24" s="207">
        <v>-24733.304301816635</v>
      </c>
      <c r="CE24" s="207">
        <v>73278.08925291801</v>
      </c>
      <c r="CF24" s="207">
        <v>-334141.0556102786</v>
      </c>
      <c r="CG24" s="207">
        <v>137286.12772464476</v>
      </c>
      <c r="CH24" s="207">
        <v>221802.4019386482</v>
      </c>
      <c r="CI24" s="207">
        <v>0</v>
      </c>
      <c r="CJ24" s="207">
        <v>1804113.9163663525</v>
      </c>
      <c r="CK24" s="207">
        <v>-565597</v>
      </c>
      <c r="CL24" s="207">
        <v>96801.40000000001</v>
      </c>
      <c r="CM24" s="207">
        <v>165094.106</v>
      </c>
      <c r="CN24" s="207">
        <v>-68292.70599999999</v>
      </c>
      <c r="CO24" s="207">
        <v>6740172.656358235</v>
      </c>
      <c r="CP24" s="207">
        <v>8498150.89053642</v>
      </c>
      <c r="CQ24" s="207">
        <v>2882</v>
      </c>
    </row>
    <row r="25" spans="1:95" ht="11.25">
      <c r="A25" s="207">
        <v>82</v>
      </c>
      <c r="B25" s="207" t="s">
        <v>82</v>
      </c>
      <c r="C25" s="207">
        <v>9475</v>
      </c>
      <c r="D25" s="207">
        <v>33468978.89</v>
      </c>
      <c r="E25" s="207">
        <v>8240761.655992122</v>
      </c>
      <c r="F25" s="207">
        <v>1294886.9209948375</v>
      </c>
      <c r="G25" s="207">
        <v>43004627.46698696</v>
      </c>
      <c r="H25" s="207">
        <v>3664.46</v>
      </c>
      <c r="I25" s="207">
        <v>34720758.5</v>
      </c>
      <c r="J25" s="207">
        <v>8283868.966986962</v>
      </c>
      <c r="K25" s="207">
        <v>127746.53438876462</v>
      </c>
      <c r="L25" s="207">
        <v>-869662.111559672</v>
      </c>
      <c r="M25" s="207">
        <v>0</v>
      </c>
      <c r="N25" s="207">
        <v>7541953.389816053</v>
      </c>
      <c r="O25" s="207">
        <v>1824794.5385622515</v>
      </c>
      <c r="P25" s="207">
        <v>9366747.928378304</v>
      </c>
      <c r="Q25" s="207">
        <v>580</v>
      </c>
      <c r="R25" s="207">
        <v>116</v>
      </c>
      <c r="S25" s="207">
        <v>746</v>
      </c>
      <c r="T25" s="207">
        <v>363</v>
      </c>
      <c r="U25" s="207">
        <v>355</v>
      </c>
      <c r="V25" s="207">
        <v>5214</v>
      </c>
      <c r="W25" s="207">
        <v>1266</v>
      </c>
      <c r="X25" s="207">
        <v>620</v>
      </c>
      <c r="Y25" s="207">
        <v>215</v>
      </c>
      <c r="Z25" s="207">
        <v>32</v>
      </c>
      <c r="AA25" s="207">
        <v>0</v>
      </c>
      <c r="AB25" s="207">
        <v>9272</v>
      </c>
      <c r="AC25" s="207">
        <v>171</v>
      </c>
      <c r="AD25" s="207">
        <v>2101</v>
      </c>
      <c r="AE25" s="481">
        <v>0.7361609699446622</v>
      </c>
      <c r="AF25" s="207">
        <v>8240761.655992122</v>
      </c>
      <c r="AG25" s="207" t="e">
        <v>#DIV/0!</v>
      </c>
      <c r="AH25" s="207" t="e">
        <v>#DIV/0!</v>
      </c>
      <c r="AI25" s="207" t="e">
        <v>#DIV/0!</v>
      </c>
      <c r="AJ25" s="175">
        <v>295</v>
      </c>
      <c r="AK25" s="175">
        <v>4631</v>
      </c>
      <c r="AL25" s="175">
        <v>0.652937292235119</v>
      </c>
      <c r="AM25" s="175">
        <v>171</v>
      </c>
      <c r="AN25" s="175">
        <v>0.01804749340369393</v>
      </c>
      <c r="AO25" s="175">
        <v>0.014766414293230935</v>
      </c>
      <c r="AP25" s="175">
        <v>0</v>
      </c>
      <c r="AQ25" s="175">
        <v>32</v>
      </c>
      <c r="AR25" s="175">
        <v>0</v>
      </c>
      <c r="AS25" s="175">
        <v>0</v>
      </c>
      <c r="AT25" s="175">
        <v>0</v>
      </c>
      <c r="AU25" s="175">
        <v>357.81</v>
      </c>
      <c r="AV25" s="175">
        <v>26.480534361812136</v>
      </c>
      <c r="AW25" s="175">
        <v>0.6854288472021257</v>
      </c>
      <c r="AX25" s="175">
        <v>339</v>
      </c>
      <c r="AY25" s="175">
        <v>3075</v>
      </c>
      <c r="AZ25" s="175">
        <v>0.11024390243902439</v>
      </c>
      <c r="BA25" s="175">
        <v>0.0490600663547899</v>
      </c>
      <c r="BB25" s="175">
        <v>0</v>
      </c>
      <c r="BC25" s="207">
        <v>2570</v>
      </c>
      <c r="BD25" s="175">
        <v>4184</v>
      </c>
      <c r="BE25" s="175">
        <v>0.614244741873805</v>
      </c>
      <c r="BF25" s="175">
        <v>0.20533785928271187</v>
      </c>
      <c r="BG25" s="175">
        <v>0</v>
      </c>
      <c r="BH25" s="175">
        <v>0</v>
      </c>
      <c r="BI25" s="207">
        <v>0</v>
      </c>
      <c r="BJ25" s="207">
        <v>-2274</v>
      </c>
      <c r="BK25" s="207">
        <v>-38847.5</v>
      </c>
      <c r="BL25" s="207">
        <v>-2653.0000000000005</v>
      </c>
      <c r="BM25" s="207">
        <v>0</v>
      </c>
      <c r="BN25" s="207">
        <v>0</v>
      </c>
      <c r="BO25" s="207">
        <v>88078</v>
      </c>
      <c r="BP25" s="207">
        <v>-207708.5809429379</v>
      </c>
      <c r="BQ25" s="207">
        <v>-403256</v>
      </c>
      <c r="BR25" s="207">
        <v>-115651.5479556378</v>
      </c>
      <c r="BS25" s="207">
        <v>676314</v>
      </c>
      <c r="BT25" s="207">
        <v>221366</v>
      </c>
      <c r="BU25" s="207">
        <v>445055.0591263313</v>
      </c>
      <c r="BV25" s="207">
        <v>6932.215931270755</v>
      </c>
      <c r="BW25" s="207">
        <v>58409.76069782427</v>
      </c>
      <c r="BX25" s="207">
        <v>192372.5287367456</v>
      </c>
      <c r="BY25" s="207">
        <v>439754.50773878576</v>
      </c>
      <c r="BZ25" s="207">
        <v>739872.3813262391</v>
      </c>
      <c r="CA25" s="207">
        <v>197045.6477393645</v>
      </c>
      <c r="CB25" s="207">
        <v>346997.4878271195</v>
      </c>
      <c r="CC25" s="207">
        <v>852.75</v>
      </c>
      <c r="CD25" s="207">
        <v>9218.701449155189</v>
      </c>
      <c r="CE25" s="207">
        <v>369589.71938326576</v>
      </c>
      <c r="CF25" s="207">
        <v>-869662.111559672</v>
      </c>
      <c r="CG25" s="207">
        <v>377711.5658897484</v>
      </c>
      <c r="CH25" s="207">
        <v>474788.41165704053</v>
      </c>
      <c r="CI25" s="207">
        <v>0</v>
      </c>
      <c r="CJ25" s="207">
        <v>1824794.5385622515</v>
      </c>
      <c r="CK25" s="207">
        <v>-1983720</v>
      </c>
      <c r="CL25" s="207">
        <v>160949.37</v>
      </c>
      <c r="CM25" s="207">
        <v>208000.30400000003</v>
      </c>
      <c r="CN25" s="207">
        <v>-47050.93400000004</v>
      </c>
      <c r="CO25" s="207">
        <v>7383027.9283783045</v>
      </c>
      <c r="CP25" s="207">
        <v>9306758.692991065</v>
      </c>
      <c r="CQ25" s="207">
        <v>9610</v>
      </c>
    </row>
    <row r="26" spans="1:95" ht="11.25">
      <c r="A26" s="207">
        <v>86</v>
      </c>
      <c r="B26" s="207" t="s">
        <v>83</v>
      </c>
      <c r="C26" s="207">
        <v>8417</v>
      </c>
      <c r="D26" s="207">
        <v>29990892.240000006</v>
      </c>
      <c r="E26" s="207">
        <v>8821019.734754566</v>
      </c>
      <c r="F26" s="207">
        <v>1484132.7209582562</v>
      </c>
      <c r="G26" s="207">
        <v>40296044.69571283</v>
      </c>
      <c r="H26" s="207">
        <v>3664.46</v>
      </c>
      <c r="I26" s="207">
        <v>30843759.82</v>
      </c>
      <c r="J26" s="207">
        <v>9452284.875712827</v>
      </c>
      <c r="K26" s="207">
        <v>88864.98391123781</v>
      </c>
      <c r="L26" s="207">
        <v>-706377.5601987416</v>
      </c>
      <c r="M26" s="207">
        <v>0</v>
      </c>
      <c r="N26" s="207">
        <v>8834772.299425324</v>
      </c>
      <c r="O26" s="207">
        <v>3116274.2449594988</v>
      </c>
      <c r="P26" s="207">
        <v>11951046.544384822</v>
      </c>
      <c r="Q26" s="207">
        <v>506</v>
      </c>
      <c r="R26" s="207">
        <v>121</v>
      </c>
      <c r="S26" s="207">
        <v>709</v>
      </c>
      <c r="T26" s="207">
        <v>337</v>
      </c>
      <c r="U26" s="207">
        <v>292</v>
      </c>
      <c r="V26" s="207">
        <v>4714</v>
      </c>
      <c r="W26" s="207">
        <v>1068</v>
      </c>
      <c r="X26" s="207">
        <v>467</v>
      </c>
      <c r="Y26" s="207">
        <v>203</v>
      </c>
      <c r="Z26" s="207">
        <v>32</v>
      </c>
      <c r="AA26" s="207">
        <v>2</v>
      </c>
      <c r="AB26" s="207">
        <v>8138</v>
      </c>
      <c r="AC26" s="207">
        <v>245</v>
      </c>
      <c r="AD26" s="207">
        <v>1738</v>
      </c>
      <c r="AE26" s="481">
        <v>0.8870459551531108</v>
      </c>
      <c r="AF26" s="207">
        <v>8821019.734754566</v>
      </c>
      <c r="AG26" s="207" t="e">
        <v>#DIV/0!</v>
      </c>
      <c r="AH26" s="207" t="e">
        <v>#DIV/0!</v>
      </c>
      <c r="AI26" s="207" t="e">
        <v>#DIV/0!</v>
      </c>
      <c r="AJ26" s="175">
        <v>246</v>
      </c>
      <c r="AK26" s="175">
        <v>4086</v>
      </c>
      <c r="AL26" s="175">
        <v>0.617107725996039</v>
      </c>
      <c r="AM26" s="175">
        <v>245</v>
      </c>
      <c r="AN26" s="175">
        <v>0.02910775810858976</v>
      </c>
      <c r="AO26" s="175">
        <v>0.025826678998126764</v>
      </c>
      <c r="AP26" s="175">
        <v>0</v>
      </c>
      <c r="AQ26" s="175">
        <v>32</v>
      </c>
      <c r="AR26" s="175">
        <v>2</v>
      </c>
      <c r="AS26" s="175">
        <v>0</v>
      </c>
      <c r="AT26" s="175">
        <v>0</v>
      </c>
      <c r="AU26" s="175">
        <v>389.36</v>
      </c>
      <c r="AV26" s="175">
        <v>21.617526196835833</v>
      </c>
      <c r="AW26" s="175">
        <v>0.8396206844227103</v>
      </c>
      <c r="AX26" s="175">
        <v>426</v>
      </c>
      <c r="AY26" s="175">
        <v>2905</v>
      </c>
      <c r="AZ26" s="175">
        <v>0.14664371772805507</v>
      </c>
      <c r="BA26" s="175">
        <v>0.08545988164382057</v>
      </c>
      <c r="BB26" s="175">
        <v>0</v>
      </c>
      <c r="BC26" s="207">
        <v>2121</v>
      </c>
      <c r="BD26" s="175">
        <v>3723</v>
      </c>
      <c r="BE26" s="175">
        <v>0.5697018533440773</v>
      </c>
      <c r="BF26" s="175">
        <v>0.1607949707529842</v>
      </c>
      <c r="BG26" s="175">
        <v>0</v>
      </c>
      <c r="BH26" s="175">
        <v>2</v>
      </c>
      <c r="BI26" s="207">
        <v>0</v>
      </c>
      <c r="BJ26" s="207">
        <v>-2020.08</v>
      </c>
      <c r="BK26" s="207">
        <v>-34509.7</v>
      </c>
      <c r="BL26" s="207">
        <v>-2356.76</v>
      </c>
      <c r="BM26" s="207">
        <v>0</v>
      </c>
      <c r="BN26" s="207">
        <v>0</v>
      </c>
      <c r="BO26" s="207">
        <v>50241</v>
      </c>
      <c r="BP26" s="207">
        <v>-259238.36439653637</v>
      </c>
      <c r="BQ26" s="207">
        <v>-358227.52</v>
      </c>
      <c r="BR26" s="207">
        <v>26314.203572351485</v>
      </c>
      <c r="BS26" s="207">
        <v>684929</v>
      </c>
      <c r="BT26" s="207">
        <v>219405</v>
      </c>
      <c r="BU26" s="207">
        <v>453618.33415046043</v>
      </c>
      <c r="BV26" s="207">
        <v>11746.726739898262</v>
      </c>
      <c r="BW26" s="207">
        <v>84479.08494531004</v>
      </c>
      <c r="BX26" s="207">
        <v>176088.1724966164</v>
      </c>
      <c r="BY26" s="207">
        <v>436966.1327736365</v>
      </c>
      <c r="BZ26" s="207">
        <v>725646.8696418864</v>
      </c>
      <c r="CA26" s="207">
        <v>189210.61735064804</v>
      </c>
      <c r="CB26" s="207">
        <v>336533.31482467405</v>
      </c>
      <c r="CC26" s="207">
        <v>757.53</v>
      </c>
      <c r="CD26" s="207">
        <v>29652.068323478816</v>
      </c>
      <c r="CE26" s="207">
        <v>469219.5941977947</v>
      </c>
      <c r="CF26" s="207">
        <v>-706377.5601987416</v>
      </c>
      <c r="CG26" s="207">
        <v>353921.9623019644</v>
      </c>
      <c r="CH26" s="207">
        <v>467702.8881342865</v>
      </c>
      <c r="CI26" s="207">
        <v>0</v>
      </c>
      <c r="CJ26" s="207">
        <v>3116274.2449594988</v>
      </c>
      <c r="CK26" s="207">
        <v>-1211068</v>
      </c>
      <c r="CL26" s="207">
        <v>330215.48000000004</v>
      </c>
      <c r="CM26" s="207">
        <v>1511547.044</v>
      </c>
      <c r="CN26" s="207">
        <v>-1181331.564</v>
      </c>
      <c r="CO26" s="207">
        <v>10739978.544384822</v>
      </c>
      <c r="CP26" s="207">
        <v>13168725.450897368</v>
      </c>
      <c r="CQ26" s="207">
        <v>8504</v>
      </c>
    </row>
    <row r="27" spans="1:95" ht="11.25">
      <c r="A27" s="207">
        <v>111</v>
      </c>
      <c r="B27" s="207" t="s">
        <v>84</v>
      </c>
      <c r="C27" s="207">
        <v>18889</v>
      </c>
      <c r="D27" s="207">
        <v>66698815.25</v>
      </c>
      <c r="E27" s="207">
        <v>30490357.01203653</v>
      </c>
      <c r="F27" s="207">
        <v>4929803.1612745365</v>
      </c>
      <c r="G27" s="207">
        <v>102118975.42331107</v>
      </c>
      <c r="H27" s="207">
        <v>3664.46</v>
      </c>
      <c r="I27" s="207">
        <v>69217984.94</v>
      </c>
      <c r="J27" s="207">
        <v>32900990.483311072</v>
      </c>
      <c r="K27" s="207">
        <v>699706.5913608109</v>
      </c>
      <c r="L27" s="207">
        <v>-1588365.1079196509</v>
      </c>
      <c r="M27" s="207">
        <v>0</v>
      </c>
      <c r="N27" s="207">
        <v>32012331.966752227</v>
      </c>
      <c r="O27" s="207">
        <v>9355948.87920084</v>
      </c>
      <c r="P27" s="207">
        <v>41368280.84595307</v>
      </c>
      <c r="Q27" s="207">
        <v>725</v>
      </c>
      <c r="R27" s="207">
        <v>145</v>
      </c>
      <c r="S27" s="207">
        <v>948</v>
      </c>
      <c r="T27" s="207">
        <v>571</v>
      </c>
      <c r="U27" s="207">
        <v>532</v>
      </c>
      <c r="V27" s="207">
        <v>9772</v>
      </c>
      <c r="W27" s="207">
        <v>3519</v>
      </c>
      <c r="X27" s="207">
        <v>1948</v>
      </c>
      <c r="Y27" s="207">
        <v>729</v>
      </c>
      <c r="Z27" s="207">
        <v>38</v>
      </c>
      <c r="AA27" s="207">
        <v>2</v>
      </c>
      <c r="AB27" s="207">
        <v>18189</v>
      </c>
      <c r="AC27" s="207">
        <v>660</v>
      </c>
      <c r="AD27" s="207">
        <v>6196</v>
      </c>
      <c r="AE27" s="481">
        <v>1.3662752346814744</v>
      </c>
      <c r="AF27" s="207">
        <v>30490357.01203653</v>
      </c>
      <c r="AG27" s="207" t="e">
        <v>#DIV/0!</v>
      </c>
      <c r="AH27" s="207" t="e">
        <v>#DIV/0!</v>
      </c>
      <c r="AI27" s="207" t="e">
        <v>#DIV/0!</v>
      </c>
      <c r="AJ27" s="175">
        <v>1086</v>
      </c>
      <c r="AK27" s="175">
        <v>8278</v>
      </c>
      <c r="AL27" s="175">
        <v>1.3447100232882534</v>
      </c>
      <c r="AM27" s="175">
        <v>660</v>
      </c>
      <c r="AN27" s="175">
        <v>0.03494097093546508</v>
      </c>
      <c r="AO27" s="175">
        <v>0.03165989182500208</v>
      </c>
      <c r="AP27" s="175">
        <v>0</v>
      </c>
      <c r="AQ27" s="175">
        <v>38</v>
      </c>
      <c r="AR27" s="175">
        <v>2</v>
      </c>
      <c r="AS27" s="175">
        <v>0</v>
      </c>
      <c r="AT27" s="175">
        <v>0</v>
      </c>
      <c r="AU27" s="175">
        <v>675.99</v>
      </c>
      <c r="AV27" s="175">
        <v>27.94272104616932</v>
      </c>
      <c r="AW27" s="175">
        <v>0.6495617270388001</v>
      </c>
      <c r="AX27" s="175">
        <v>925</v>
      </c>
      <c r="AY27" s="175">
        <v>5118</v>
      </c>
      <c r="AZ27" s="175">
        <v>0.1807346619773349</v>
      </c>
      <c r="BA27" s="175">
        <v>0.1195508258931004</v>
      </c>
      <c r="BB27" s="175">
        <v>0</v>
      </c>
      <c r="BC27" s="207">
        <v>6649</v>
      </c>
      <c r="BD27" s="175">
        <v>6833</v>
      </c>
      <c r="BE27" s="175">
        <v>0.9730718571637641</v>
      </c>
      <c r="BF27" s="175">
        <v>0.564164974572671</v>
      </c>
      <c r="BG27" s="175">
        <v>0</v>
      </c>
      <c r="BH27" s="175">
        <v>2</v>
      </c>
      <c r="BI27" s="207">
        <v>0</v>
      </c>
      <c r="BJ27" s="207">
        <v>-4533.36</v>
      </c>
      <c r="BK27" s="207">
        <v>-77444.9</v>
      </c>
      <c r="BL27" s="207">
        <v>-5288.92</v>
      </c>
      <c r="BM27" s="207">
        <v>0</v>
      </c>
      <c r="BN27" s="207">
        <v>0</v>
      </c>
      <c r="BO27" s="207">
        <v>751929</v>
      </c>
      <c r="BP27" s="207">
        <v>-1189682.8744997652</v>
      </c>
      <c r="BQ27" s="207">
        <v>-803915.8400000001</v>
      </c>
      <c r="BR27" s="207">
        <v>-211195.58279307187</v>
      </c>
      <c r="BS27" s="207">
        <v>1456682</v>
      </c>
      <c r="BT27" s="207">
        <v>464204</v>
      </c>
      <c r="BU27" s="207">
        <v>1094866.502573506</v>
      </c>
      <c r="BV27" s="207">
        <v>51131.63424286549</v>
      </c>
      <c r="BW27" s="207">
        <v>176358.02767384014</v>
      </c>
      <c r="BX27" s="207">
        <v>602628.2312042551</v>
      </c>
      <c r="BY27" s="207">
        <v>940187.9911416231</v>
      </c>
      <c r="BZ27" s="207">
        <v>1578097.1405111526</v>
      </c>
      <c r="CA27" s="207">
        <v>472697.7859773661</v>
      </c>
      <c r="CB27" s="207">
        <v>815657.8724326619</v>
      </c>
      <c r="CC27" s="207">
        <v>1700.01</v>
      </c>
      <c r="CD27" s="207">
        <v>199714.13222891683</v>
      </c>
      <c r="CE27" s="207">
        <v>1657763.1965801145</v>
      </c>
      <c r="CF27" s="207">
        <v>-1588365.1079196509</v>
      </c>
      <c r="CG27" s="207">
        <v>896915.5271442698</v>
      </c>
      <c r="CH27" s="207">
        <v>1086170.0810475464</v>
      </c>
      <c r="CI27" s="207">
        <v>0</v>
      </c>
      <c r="CJ27" s="207">
        <v>9355948.87920084</v>
      </c>
      <c r="CK27" s="207">
        <v>-2081153</v>
      </c>
      <c r="CL27" s="207">
        <v>583535.2</v>
      </c>
      <c r="CM27" s="207">
        <v>399121.7160000001</v>
      </c>
      <c r="CN27" s="207">
        <v>184413.48399999988</v>
      </c>
      <c r="CO27" s="207">
        <v>39287127.84595307</v>
      </c>
      <c r="CP27" s="207">
        <v>42717295.68625277</v>
      </c>
      <c r="CQ27" s="207">
        <v>19128</v>
      </c>
    </row>
    <row r="28" spans="1:95" ht="11.25">
      <c r="A28" s="207">
        <v>90</v>
      </c>
      <c r="B28" s="207" t="s">
        <v>85</v>
      </c>
      <c r="C28" s="207">
        <v>3329</v>
      </c>
      <c r="D28" s="207">
        <v>12785529.08</v>
      </c>
      <c r="E28" s="207">
        <v>7387510.040781102</v>
      </c>
      <c r="F28" s="207">
        <v>1446511.6626251074</v>
      </c>
      <c r="G28" s="207">
        <v>21619550.78340621</v>
      </c>
      <c r="H28" s="207">
        <v>3664.46</v>
      </c>
      <c r="I28" s="207">
        <v>12198987.34</v>
      </c>
      <c r="J28" s="207">
        <v>9420563.44340621</v>
      </c>
      <c r="K28" s="207">
        <v>635393.0461298823</v>
      </c>
      <c r="L28" s="207">
        <v>-315481.47258057276</v>
      </c>
      <c r="M28" s="207">
        <v>0</v>
      </c>
      <c r="N28" s="207">
        <v>9740475.01695552</v>
      </c>
      <c r="O28" s="207">
        <v>2405342.1429759697</v>
      </c>
      <c r="P28" s="207">
        <v>12145817.159931488</v>
      </c>
      <c r="Q28" s="207">
        <v>100</v>
      </c>
      <c r="R28" s="207">
        <v>19</v>
      </c>
      <c r="S28" s="207">
        <v>168</v>
      </c>
      <c r="T28" s="207">
        <v>103</v>
      </c>
      <c r="U28" s="207">
        <v>85</v>
      </c>
      <c r="V28" s="207">
        <v>1598</v>
      </c>
      <c r="W28" s="207">
        <v>668</v>
      </c>
      <c r="X28" s="207">
        <v>409</v>
      </c>
      <c r="Y28" s="207">
        <v>179</v>
      </c>
      <c r="Z28" s="207">
        <v>8</v>
      </c>
      <c r="AA28" s="207">
        <v>0</v>
      </c>
      <c r="AB28" s="207">
        <v>3241</v>
      </c>
      <c r="AC28" s="207">
        <v>80</v>
      </c>
      <c r="AD28" s="207">
        <v>1256</v>
      </c>
      <c r="AE28" s="481">
        <v>1.8783172300929127</v>
      </c>
      <c r="AF28" s="207">
        <v>7387510.040781102</v>
      </c>
      <c r="AG28" s="207" t="e">
        <v>#DIV/0!</v>
      </c>
      <c r="AH28" s="207" t="e">
        <v>#DIV/0!</v>
      </c>
      <c r="AI28" s="207" t="e">
        <v>#DIV/0!</v>
      </c>
      <c r="AJ28" s="175">
        <v>160</v>
      </c>
      <c r="AK28" s="175">
        <v>1326</v>
      </c>
      <c r="AL28" s="175">
        <v>1.2368034768886513</v>
      </c>
      <c r="AM28" s="175">
        <v>80</v>
      </c>
      <c r="AN28" s="175">
        <v>0.024031240612796635</v>
      </c>
      <c r="AO28" s="175">
        <v>0.02075016150233364</v>
      </c>
      <c r="AP28" s="175">
        <v>0</v>
      </c>
      <c r="AQ28" s="175">
        <v>8</v>
      </c>
      <c r="AR28" s="175">
        <v>0</v>
      </c>
      <c r="AS28" s="175">
        <v>0</v>
      </c>
      <c r="AT28" s="175">
        <v>0</v>
      </c>
      <c r="AU28" s="175">
        <v>1029.96</v>
      </c>
      <c r="AV28" s="175">
        <v>3.232164355897316</v>
      </c>
      <c r="AW28" s="175">
        <v>5.615593807225873</v>
      </c>
      <c r="AX28" s="175">
        <v>161</v>
      </c>
      <c r="AY28" s="175">
        <v>818</v>
      </c>
      <c r="AZ28" s="175">
        <v>0.19682151589242053</v>
      </c>
      <c r="BA28" s="175">
        <v>0.13563767980818603</v>
      </c>
      <c r="BB28" s="175">
        <v>0.704266</v>
      </c>
      <c r="BC28" s="207">
        <v>1093</v>
      </c>
      <c r="BD28" s="175">
        <v>1098</v>
      </c>
      <c r="BE28" s="175">
        <v>0.9954462659380692</v>
      </c>
      <c r="BF28" s="175">
        <v>0.5865393833469761</v>
      </c>
      <c r="BG28" s="175">
        <v>0</v>
      </c>
      <c r="BH28" s="175">
        <v>0</v>
      </c>
      <c r="BI28" s="207">
        <v>0</v>
      </c>
      <c r="BJ28" s="207">
        <v>-798.9599999999999</v>
      </c>
      <c r="BK28" s="207">
        <v>-13648.9</v>
      </c>
      <c r="BL28" s="207">
        <v>-932.1200000000001</v>
      </c>
      <c r="BM28" s="207">
        <v>0</v>
      </c>
      <c r="BN28" s="207">
        <v>0</v>
      </c>
      <c r="BO28" s="207">
        <v>-138429</v>
      </c>
      <c r="BP28" s="207">
        <v>1987.529108586241</v>
      </c>
      <c r="BQ28" s="207">
        <v>-141682.24000000002</v>
      </c>
      <c r="BR28" s="207">
        <v>50519.79779796116</v>
      </c>
      <c r="BS28" s="207">
        <v>414960</v>
      </c>
      <c r="BT28" s="207">
        <v>115556</v>
      </c>
      <c r="BU28" s="207">
        <v>307791.1445000703</v>
      </c>
      <c r="BV28" s="207">
        <v>16925.36445599054</v>
      </c>
      <c r="BW28" s="207">
        <v>55473.379691860675</v>
      </c>
      <c r="BX28" s="207">
        <v>155595.83504072958</v>
      </c>
      <c r="BY28" s="207">
        <v>191991.19827667397</v>
      </c>
      <c r="BZ28" s="207">
        <v>291574.7104154343</v>
      </c>
      <c r="CA28" s="207">
        <v>90136.82512467867</v>
      </c>
      <c r="CB28" s="207">
        <v>169233.90248930658</v>
      </c>
      <c r="CC28" s="207">
        <v>299.61</v>
      </c>
      <c r="CD28" s="207">
        <v>-60612.37068334714</v>
      </c>
      <c r="CE28" s="207">
        <v>44959.228310840954</v>
      </c>
      <c r="CF28" s="207">
        <v>-315481.47258057276</v>
      </c>
      <c r="CG28" s="207">
        <v>189885.48119622693</v>
      </c>
      <c r="CH28" s="207">
        <v>228089.54472570826</v>
      </c>
      <c r="CI28" s="207">
        <v>0</v>
      </c>
      <c r="CJ28" s="207">
        <v>2405342.1429759697</v>
      </c>
      <c r="CK28" s="207">
        <v>-240534</v>
      </c>
      <c r="CL28" s="207">
        <v>31358.2</v>
      </c>
      <c r="CM28" s="207">
        <v>31358.2</v>
      </c>
      <c r="CN28" s="207">
        <v>0</v>
      </c>
      <c r="CO28" s="207">
        <v>11905283.159931488</v>
      </c>
      <c r="CP28" s="207">
        <v>13300580.893156096</v>
      </c>
      <c r="CQ28" s="207">
        <v>3455</v>
      </c>
    </row>
    <row r="29" spans="1:95" ht="11.25">
      <c r="A29" s="207">
        <v>91</v>
      </c>
      <c r="B29" s="207" t="s">
        <v>86</v>
      </c>
      <c r="C29" s="207">
        <v>648042</v>
      </c>
      <c r="D29" s="207">
        <v>1961234139.97</v>
      </c>
      <c r="E29" s="207">
        <v>610640304.3370789</v>
      </c>
      <c r="F29" s="207">
        <v>312624228.2850146</v>
      </c>
      <c r="G29" s="207">
        <v>2884498672.5920935</v>
      </c>
      <c r="H29" s="207">
        <v>3664.46</v>
      </c>
      <c r="I29" s="207">
        <v>2374723987.32</v>
      </c>
      <c r="J29" s="207">
        <v>509774685.2720933</v>
      </c>
      <c r="K29" s="207">
        <v>37554125.865051314</v>
      </c>
      <c r="L29" s="207">
        <v>-120390485.43408443</v>
      </c>
      <c r="M29" s="207">
        <v>0</v>
      </c>
      <c r="N29" s="207">
        <v>426938325.70306015</v>
      </c>
      <c r="O29" s="207">
        <v>-375940966.5452445</v>
      </c>
      <c r="P29" s="207">
        <v>50997359.157815635</v>
      </c>
      <c r="Q29" s="207">
        <v>39331</v>
      </c>
      <c r="R29" s="207">
        <v>6468</v>
      </c>
      <c r="S29" s="207">
        <v>36113</v>
      </c>
      <c r="T29" s="207">
        <v>16140</v>
      </c>
      <c r="U29" s="207">
        <v>16097</v>
      </c>
      <c r="V29" s="207">
        <v>423590</v>
      </c>
      <c r="W29" s="207">
        <v>63695</v>
      </c>
      <c r="X29" s="207">
        <v>32946</v>
      </c>
      <c r="Y29" s="207">
        <v>13662</v>
      </c>
      <c r="Z29" s="207">
        <v>36533</v>
      </c>
      <c r="AA29" s="207">
        <v>67</v>
      </c>
      <c r="AB29" s="207">
        <v>509617</v>
      </c>
      <c r="AC29" s="207">
        <v>101825</v>
      </c>
      <c r="AD29" s="207">
        <v>110303</v>
      </c>
      <c r="AE29" s="481">
        <v>0.7975666127518867</v>
      </c>
      <c r="AF29" s="207">
        <v>610640304.3370789</v>
      </c>
      <c r="AG29" s="207" t="e">
        <v>#DIV/0!</v>
      </c>
      <c r="AH29" s="207" t="e">
        <v>#DIV/0!</v>
      </c>
      <c r="AI29" s="207" t="e">
        <v>#DIV/0!</v>
      </c>
      <c r="AJ29" s="175">
        <v>32857</v>
      </c>
      <c r="AK29" s="175">
        <v>341043</v>
      </c>
      <c r="AL29" s="175">
        <v>0.9875134209618166</v>
      </c>
      <c r="AM29" s="175">
        <v>101825</v>
      </c>
      <c r="AN29" s="175">
        <v>0.15712716151113662</v>
      </c>
      <c r="AO29" s="175">
        <v>0.15384608240067363</v>
      </c>
      <c r="AP29" s="175">
        <v>1</v>
      </c>
      <c r="AQ29" s="175">
        <v>36533</v>
      </c>
      <c r="AR29" s="175">
        <v>67</v>
      </c>
      <c r="AS29" s="175">
        <v>3</v>
      </c>
      <c r="AT29" s="175">
        <v>1163</v>
      </c>
      <c r="AU29" s="175">
        <v>214.25</v>
      </c>
      <c r="AV29" s="175">
        <v>3024.700116686114</v>
      </c>
      <c r="AW29" s="175">
        <v>0.006000767494530674</v>
      </c>
      <c r="AX29" s="175">
        <v>43240</v>
      </c>
      <c r="AY29" s="175">
        <v>233371</v>
      </c>
      <c r="AZ29" s="175">
        <v>0.18528437552223712</v>
      </c>
      <c r="BA29" s="175">
        <v>0.12410053943800262</v>
      </c>
      <c r="BB29" s="175">
        <v>0</v>
      </c>
      <c r="BC29" s="207">
        <v>388005</v>
      </c>
      <c r="BD29" s="175">
        <v>300433</v>
      </c>
      <c r="BE29" s="175">
        <v>1.2914859552712252</v>
      </c>
      <c r="BF29" s="175">
        <v>0.8825790726801321</v>
      </c>
      <c r="BG29" s="175">
        <v>0</v>
      </c>
      <c r="BH29" s="175">
        <v>67</v>
      </c>
      <c r="BI29" s="207">
        <v>0</v>
      </c>
      <c r="BJ29" s="207">
        <v>-155530.08</v>
      </c>
      <c r="BK29" s="207">
        <v>-2656972.1999999997</v>
      </c>
      <c r="BL29" s="207">
        <v>-181451.76</v>
      </c>
      <c r="BM29" s="207">
        <v>0</v>
      </c>
      <c r="BN29" s="207">
        <v>0</v>
      </c>
      <c r="BO29" s="207">
        <v>-6090483</v>
      </c>
      <c r="BP29" s="207">
        <v>-57153769.50932944</v>
      </c>
      <c r="BQ29" s="207">
        <v>-27580667.520000003</v>
      </c>
      <c r="BR29" s="207">
        <v>-5538615.30365333</v>
      </c>
      <c r="BS29" s="207">
        <v>33023199</v>
      </c>
      <c r="BT29" s="207">
        <v>13663332</v>
      </c>
      <c r="BU29" s="207">
        <v>32140867.169646222</v>
      </c>
      <c r="BV29" s="207">
        <v>1308957.284300828</v>
      </c>
      <c r="BW29" s="207">
        <v>-4477969.055873193</v>
      </c>
      <c r="BX29" s="207">
        <v>10724768.73021238</v>
      </c>
      <c r="BY29" s="207">
        <v>29262801.231433734</v>
      </c>
      <c r="BZ29" s="207">
        <v>38415270.92514888</v>
      </c>
      <c r="CA29" s="207">
        <v>16686708.26220784</v>
      </c>
      <c r="CB29" s="207">
        <v>24888950.39224589</v>
      </c>
      <c r="CC29" s="207">
        <v>58323.78</v>
      </c>
      <c r="CD29" s="207">
        <v>-7089851.25581247</v>
      </c>
      <c r="CE29" s="207">
        <v>7315616.615245014</v>
      </c>
      <c r="CF29" s="207">
        <v>-120390485.43408443</v>
      </c>
      <c r="CG29" s="207">
        <v>25334680.814710815</v>
      </c>
      <c r="CH29" s="207">
        <v>36584018.80910855</v>
      </c>
      <c r="CI29" s="207">
        <v>0</v>
      </c>
      <c r="CJ29" s="207">
        <v>-375940966.5452445</v>
      </c>
      <c r="CK29" s="207">
        <v>17464969</v>
      </c>
      <c r="CL29" s="207">
        <v>3819087.9100000015</v>
      </c>
      <c r="CM29" s="207">
        <v>83134671.583</v>
      </c>
      <c r="CN29" s="207">
        <v>-79315583.67300001</v>
      </c>
      <c r="CO29" s="207">
        <v>68462328.15781564</v>
      </c>
      <c r="CP29" s="207">
        <v>202178434.3339942</v>
      </c>
      <c r="CQ29" s="207">
        <v>643272</v>
      </c>
    </row>
    <row r="30" spans="1:95" ht="11.25">
      <c r="A30" s="207">
        <v>97</v>
      </c>
      <c r="B30" s="207" t="s">
        <v>87</v>
      </c>
      <c r="C30" s="207">
        <v>2152</v>
      </c>
      <c r="D30" s="207">
        <v>7866494.27</v>
      </c>
      <c r="E30" s="207">
        <v>3440477.9638493103</v>
      </c>
      <c r="F30" s="207">
        <v>1235210.0074398885</v>
      </c>
      <c r="G30" s="207">
        <v>12542182.241289198</v>
      </c>
      <c r="H30" s="207">
        <v>3664.46</v>
      </c>
      <c r="I30" s="207">
        <v>7885917.92</v>
      </c>
      <c r="J30" s="207">
        <v>4656264.3212891985</v>
      </c>
      <c r="K30" s="207">
        <v>59293.45040930963</v>
      </c>
      <c r="L30" s="207">
        <v>-80989.44570279901</v>
      </c>
      <c r="M30" s="207">
        <v>0</v>
      </c>
      <c r="N30" s="207">
        <v>4634568.32599571</v>
      </c>
      <c r="O30" s="207">
        <v>1604232.530879124</v>
      </c>
      <c r="P30" s="207">
        <v>6238800.856874834</v>
      </c>
      <c r="Q30" s="207">
        <v>88</v>
      </c>
      <c r="R30" s="207">
        <v>12</v>
      </c>
      <c r="S30" s="207">
        <v>99</v>
      </c>
      <c r="T30" s="207">
        <v>44</v>
      </c>
      <c r="U30" s="207">
        <v>63</v>
      </c>
      <c r="V30" s="207">
        <v>1083</v>
      </c>
      <c r="W30" s="207">
        <v>424</v>
      </c>
      <c r="X30" s="207">
        <v>228</v>
      </c>
      <c r="Y30" s="207">
        <v>111</v>
      </c>
      <c r="Z30" s="207">
        <v>8</v>
      </c>
      <c r="AA30" s="207">
        <v>0</v>
      </c>
      <c r="AB30" s="207">
        <v>2109</v>
      </c>
      <c r="AC30" s="207">
        <v>35</v>
      </c>
      <c r="AD30" s="207">
        <v>763</v>
      </c>
      <c r="AE30" s="481">
        <v>1.3531974381589373</v>
      </c>
      <c r="AF30" s="207">
        <v>3440477.9638493103</v>
      </c>
      <c r="AG30" s="207" t="e">
        <v>#DIV/0!</v>
      </c>
      <c r="AH30" s="207" t="e">
        <v>#DIV/0!</v>
      </c>
      <c r="AI30" s="207" t="e">
        <v>#DIV/0!</v>
      </c>
      <c r="AJ30" s="175">
        <v>108</v>
      </c>
      <c r="AK30" s="175">
        <v>913</v>
      </c>
      <c r="AL30" s="175">
        <v>1.212487351576328</v>
      </c>
      <c r="AM30" s="175">
        <v>35</v>
      </c>
      <c r="AN30" s="175">
        <v>0.016263940520446097</v>
      </c>
      <c r="AO30" s="175">
        <v>0.012982861409983101</v>
      </c>
      <c r="AP30" s="175">
        <v>0</v>
      </c>
      <c r="AQ30" s="175">
        <v>8</v>
      </c>
      <c r="AR30" s="175">
        <v>0</v>
      </c>
      <c r="AS30" s="175">
        <v>3</v>
      </c>
      <c r="AT30" s="175">
        <v>1753</v>
      </c>
      <c r="AU30" s="175">
        <v>465.28</v>
      </c>
      <c r="AV30" s="175">
        <v>4.625171939477304</v>
      </c>
      <c r="AW30" s="175">
        <v>3.9242913297974353</v>
      </c>
      <c r="AX30" s="175">
        <v>97</v>
      </c>
      <c r="AY30" s="175">
        <v>543</v>
      </c>
      <c r="AZ30" s="175">
        <v>0.17863720073664824</v>
      </c>
      <c r="BA30" s="175">
        <v>0.11745336465241374</v>
      </c>
      <c r="BB30" s="175">
        <v>0</v>
      </c>
      <c r="BC30" s="207">
        <v>633</v>
      </c>
      <c r="BD30" s="175">
        <v>764</v>
      </c>
      <c r="BE30" s="175">
        <v>0.8285340314136126</v>
      </c>
      <c r="BF30" s="175">
        <v>0.4196271488225195</v>
      </c>
      <c r="BG30" s="175">
        <v>0</v>
      </c>
      <c r="BH30" s="175">
        <v>0</v>
      </c>
      <c r="BI30" s="207">
        <v>0</v>
      </c>
      <c r="BJ30" s="207">
        <v>-516.48</v>
      </c>
      <c r="BK30" s="207">
        <v>-8823.199999999999</v>
      </c>
      <c r="BL30" s="207">
        <v>-602.5600000000001</v>
      </c>
      <c r="BM30" s="207">
        <v>0</v>
      </c>
      <c r="BN30" s="207">
        <v>0</v>
      </c>
      <c r="BO30" s="207">
        <v>79164</v>
      </c>
      <c r="BP30" s="207">
        <v>-125603.07111037521</v>
      </c>
      <c r="BQ30" s="207">
        <v>-91589.12000000001</v>
      </c>
      <c r="BR30" s="207">
        <v>86034.37929508742</v>
      </c>
      <c r="BS30" s="207">
        <v>269011</v>
      </c>
      <c r="BT30" s="207">
        <v>77732</v>
      </c>
      <c r="BU30" s="207">
        <v>190041.25671568306</v>
      </c>
      <c r="BV30" s="207">
        <v>10897.25655848356</v>
      </c>
      <c r="BW30" s="207">
        <v>25535.254371790128</v>
      </c>
      <c r="BX30" s="207">
        <v>85775.7317094981</v>
      </c>
      <c r="BY30" s="207">
        <v>128813.02749965513</v>
      </c>
      <c r="BZ30" s="207">
        <v>190256.9129628398</v>
      </c>
      <c r="CA30" s="207">
        <v>60157.40708463334</v>
      </c>
      <c r="CB30" s="207">
        <v>104659.8190082085</v>
      </c>
      <c r="CC30" s="207">
        <v>193.68</v>
      </c>
      <c r="CD30" s="207">
        <v>1220.7786941067607</v>
      </c>
      <c r="CE30" s="207">
        <v>278901.8654075762</v>
      </c>
      <c r="CF30" s="207">
        <v>-80989.44570279901</v>
      </c>
      <c r="CG30" s="207">
        <v>110158.54741838203</v>
      </c>
      <c r="CH30" s="207">
        <v>150875.9233786079</v>
      </c>
      <c r="CI30" s="207">
        <v>0</v>
      </c>
      <c r="CJ30" s="207">
        <v>1604232.530879124</v>
      </c>
      <c r="CK30" s="207">
        <v>-448279</v>
      </c>
      <c r="CL30" s="207">
        <v>104981.79999999999</v>
      </c>
      <c r="CM30" s="207">
        <v>95697.04599999999</v>
      </c>
      <c r="CN30" s="207">
        <v>9284.754</v>
      </c>
      <c r="CO30" s="207">
        <v>5790521.856874834</v>
      </c>
      <c r="CP30" s="207">
        <v>6769178.622782105</v>
      </c>
      <c r="CQ30" s="207">
        <v>2236</v>
      </c>
    </row>
    <row r="31" spans="1:95" ht="11.25">
      <c r="A31" s="207">
        <v>98</v>
      </c>
      <c r="B31" s="207" t="s">
        <v>88</v>
      </c>
      <c r="C31" s="207">
        <v>23602</v>
      </c>
      <c r="D31" s="207">
        <v>86162068.75</v>
      </c>
      <c r="E31" s="207">
        <v>27409777.956060693</v>
      </c>
      <c r="F31" s="207">
        <v>4276472.114262973</v>
      </c>
      <c r="G31" s="207">
        <v>117848318.82032366</v>
      </c>
      <c r="H31" s="207">
        <v>3664.46</v>
      </c>
      <c r="I31" s="207">
        <v>86488584.92</v>
      </c>
      <c r="J31" s="207">
        <v>31359733.90032366</v>
      </c>
      <c r="K31" s="207">
        <v>336258.6212140075</v>
      </c>
      <c r="L31" s="207">
        <v>-1727788.1327506786</v>
      </c>
      <c r="M31" s="207">
        <v>0</v>
      </c>
      <c r="N31" s="207">
        <v>29968204.388786986</v>
      </c>
      <c r="O31" s="207">
        <v>6855462.278159546</v>
      </c>
      <c r="P31" s="207">
        <v>36823666.66694653</v>
      </c>
      <c r="Q31" s="207">
        <v>1389</v>
      </c>
      <c r="R31" s="207">
        <v>307</v>
      </c>
      <c r="S31" s="207">
        <v>1852</v>
      </c>
      <c r="T31" s="207">
        <v>1034</v>
      </c>
      <c r="U31" s="207">
        <v>866</v>
      </c>
      <c r="V31" s="207">
        <v>12540</v>
      </c>
      <c r="W31" s="207">
        <v>3346</v>
      </c>
      <c r="X31" s="207">
        <v>1693</v>
      </c>
      <c r="Y31" s="207">
        <v>575</v>
      </c>
      <c r="Z31" s="207">
        <v>73</v>
      </c>
      <c r="AA31" s="207">
        <v>0</v>
      </c>
      <c r="AB31" s="207">
        <v>22893</v>
      </c>
      <c r="AC31" s="207">
        <v>636</v>
      </c>
      <c r="AD31" s="207">
        <v>5614</v>
      </c>
      <c r="AE31" s="481">
        <v>0.9829724925188209</v>
      </c>
      <c r="AF31" s="207">
        <v>27409777.956060693</v>
      </c>
      <c r="AG31" s="207" t="e">
        <v>#DIV/0!</v>
      </c>
      <c r="AH31" s="207" t="e">
        <v>#DIV/0!</v>
      </c>
      <c r="AI31" s="207" t="e">
        <v>#DIV/0!</v>
      </c>
      <c r="AJ31" s="175">
        <v>973</v>
      </c>
      <c r="AK31" s="175">
        <v>11026</v>
      </c>
      <c r="AL31" s="175">
        <v>0.9045219097331217</v>
      </c>
      <c r="AM31" s="175">
        <v>636</v>
      </c>
      <c r="AN31" s="175">
        <v>0.026946868909414456</v>
      </c>
      <c r="AO31" s="175">
        <v>0.02366578979895146</v>
      </c>
      <c r="AP31" s="175">
        <v>0</v>
      </c>
      <c r="AQ31" s="175">
        <v>73</v>
      </c>
      <c r="AR31" s="175">
        <v>0</v>
      </c>
      <c r="AS31" s="175">
        <v>0</v>
      </c>
      <c r="AT31" s="175">
        <v>0</v>
      </c>
      <c r="AU31" s="175">
        <v>651.16</v>
      </c>
      <c r="AV31" s="175">
        <v>36.2460839117882</v>
      </c>
      <c r="AW31" s="175">
        <v>0.5007581559730964</v>
      </c>
      <c r="AX31" s="175">
        <v>1035</v>
      </c>
      <c r="AY31" s="175">
        <v>7522</v>
      </c>
      <c r="AZ31" s="175">
        <v>0.13759638394044138</v>
      </c>
      <c r="BA31" s="175">
        <v>0.07641254785620688</v>
      </c>
      <c r="BB31" s="175">
        <v>0</v>
      </c>
      <c r="BC31" s="207">
        <v>6073</v>
      </c>
      <c r="BD31" s="175">
        <v>9703</v>
      </c>
      <c r="BE31" s="175">
        <v>0.625888900340101</v>
      </c>
      <c r="BF31" s="175">
        <v>0.21698201774900794</v>
      </c>
      <c r="BG31" s="175">
        <v>0</v>
      </c>
      <c r="BH31" s="175">
        <v>0</v>
      </c>
      <c r="BI31" s="207">
        <v>0</v>
      </c>
      <c r="BJ31" s="207">
        <v>-5664.48</v>
      </c>
      <c r="BK31" s="207">
        <v>-96768.2</v>
      </c>
      <c r="BL31" s="207">
        <v>-6608.56</v>
      </c>
      <c r="BM31" s="207">
        <v>0</v>
      </c>
      <c r="BN31" s="207">
        <v>0</v>
      </c>
      <c r="BO31" s="207">
        <v>560493</v>
      </c>
      <c r="BP31" s="207">
        <v>-840747.4579382241</v>
      </c>
      <c r="BQ31" s="207">
        <v>-1004501.1200000001</v>
      </c>
      <c r="BR31" s="207">
        <v>-44.645317622460425</v>
      </c>
      <c r="BS31" s="207">
        <v>1736483</v>
      </c>
      <c r="BT31" s="207">
        <v>558359</v>
      </c>
      <c r="BU31" s="207">
        <v>1223351.0324556248</v>
      </c>
      <c r="BV31" s="207">
        <v>36326.02643451036</v>
      </c>
      <c r="BW31" s="207">
        <v>-13553.016595419416</v>
      </c>
      <c r="BX31" s="207">
        <v>554073.5128430926</v>
      </c>
      <c r="BY31" s="207">
        <v>1083021.0232353462</v>
      </c>
      <c r="BZ31" s="207">
        <v>1830343.4831230547</v>
      </c>
      <c r="CA31" s="207">
        <v>480880.2445510101</v>
      </c>
      <c r="CB31" s="207">
        <v>881083.6226666378</v>
      </c>
      <c r="CC31" s="207">
        <v>2124.18</v>
      </c>
      <c r="CD31" s="207">
        <v>61503.497005647485</v>
      </c>
      <c r="CE31" s="207">
        <v>1682509.0651875457</v>
      </c>
      <c r="CF31" s="207">
        <v>-1727788.1327506786</v>
      </c>
      <c r="CG31" s="207">
        <v>1035067.0534995209</v>
      </c>
      <c r="CH31" s="207">
        <v>1205874.3475116326</v>
      </c>
      <c r="CI31" s="207">
        <v>0</v>
      </c>
      <c r="CJ31" s="207">
        <v>6855462.278159546</v>
      </c>
      <c r="CK31" s="207">
        <v>-4514470</v>
      </c>
      <c r="CL31" s="207">
        <v>759550.1399999998</v>
      </c>
      <c r="CM31" s="207">
        <v>3354865.2074000007</v>
      </c>
      <c r="CN31" s="207">
        <v>-2595315.067400001</v>
      </c>
      <c r="CO31" s="207">
        <v>32309196.66694653</v>
      </c>
      <c r="CP31" s="207">
        <v>36722045.230128616</v>
      </c>
      <c r="CQ31" s="207">
        <v>23782</v>
      </c>
    </row>
    <row r="32" spans="1:95" ht="11.25">
      <c r="A32" s="207">
        <v>99</v>
      </c>
      <c r="B32" s="207" t="s">
        <v>89</v>
      </c>
      <c r="C32" s="207">
        <v>1666</v>
      </c>
      <c r="D32" s="207">
        <v>5794722.96</v>
      </c>
      <c r="E32" s="207">
        <v>2132902.9908837453</v>
      </c>
      <c r="F32" s="207">
        <v>685701.2046644021</v>
      </c>
      <c r="G32" s="207">
        <v>8613327.155548148</v>
      </c>
      <c r="H32" s="207">
        <v>3664.46</v>
      </c>
      <c r="I32" s="207">
        <v>6104990.36</v>
      </c>
      <c r="J32" s="207">
        <v>2508336.7955481475</v>
      </c>
      <c r="K32" s="207">
        <v>62312.00058174489</v>
      </c>
      <c r="L32" s="207">
        <v>-15618.946068551071</v>
      </c>
      <c r="M32" s="207">
        <v>0</v>
      </c>
      <c r="N32" s="207">
        <v>2555029.8500613417</v>
      </c>
      <c r="O32" s="207">
        <v>1430160.5523860783</v>
      </c>
      <c r="P32" s="207">
        <v>3985190.40244742</v>
      </c>
      <c r="Q32" s="207">
        <v>87</v>
      </c>
      <c r="R32" s="207">
        <v>25</v>
      </c>
      <c r="S32" s="207">
        <v>91</v>
      </c>
      <c r="T32" s="207">
        <v>41</v>
      </c>
      <c r="U32" s="207">
        <v>45</v>
      </c>
      <c r="V32" s="207">
        <v>906</v>
      </c>
      <c r="W32" s="207">
        <v>270</v>
      </c>
      <c r="X32" s="207">
        <v>143</v>
      </c>
      <c r="Y32" s="207">
        <v>58</v>
      </c>
      <c r="Z32" s="207">
        <v>4</v>
      </c>
      <c r="AA32" s="207">
        <v>0</v>
      </c>
      <c r="AB32" s="207">
        <v>1554</v>
      </c>
      <c r="AC32" s="207">
        <v>108</v>
      </c>
      <c r="AD32" s="207">
        <v>471</v>
      </c>
      <c r="AE32" s="481">
        <v>1.0836293504496022</v>
      </c>
      <c r="AF32" s="207">
        <v>2132902.9908837453</v>
      </c>
      <c r="AG32" s="207" t="e">
        <v>#DIV/0!</v>
      </c>
      <c r="AH32" s="207" t="e">
        <v>#DIV/0!</v>
      </c>
      <c r="AI32" s="207" t="e">
        <v>#DIV/0!</v>
      </c>
      <c r="AJ32" s="175">
        <v>57</v>
      </c>
      <c r="AK32" s="175">
        <v>799</v>
      </c>
      <c r="AL32" s="175">
        <v>0.7312271620009233</v>
      </c>
      <c r="AM32" s="175">
        <v>108</v>
      </c>
      <c r="AN32" s="175">
        <v>0.06482593037214886</v>
      </c>
      <c r="AO32" s="175">
        <v>0.06154485126168586</v>
      </c>
      <c r="AP32" s="175">
        <v>0</v>
      </c>
      <c r="AQ32" s="175">
        <v>4</v>
      </c>
      <c r="AR32" s="175">
        <v>0</v>
      </c>
      <c r="AS32" s="175">
        <v>0</v>
      </c>
      <c r="AT32" s="175">
        <v>0</v>
      </c>
      <c r="AU32" s="175">
        <v>331.49</v>
      </c>
      <c r="AV32" s="175">
        <v>5.025792633261938</v>
      </c>
      <c r="AW32" s="175">
        <v>3.611474540510989</v>
      </c>
      <c r="AX32" s="175">
        <v>113</v>
      </c>
      <c r="AY32" s="175">
        <v>448</v>
      </c>
      <c r="AZ32" s="175">
        <v>0.25223214285714285</v>
      </c>
      <c r="BA32" s="175">
        <v>0.19104830677290835</v>
      </c>
      <c r="BB32" s="175">
        <v>0</v>
      </c>
      <c r="BC32" s="207">
        <v>684</v>
      </c>
      <c r="BD32" s="175">
        <v>699</v>
      </c>
      <c r="BE32" s="175">
        <v>0.9785407725321889</v>
      </c>
      <c r="BF32" s="175">
        <v>0.5696338899410958</v>
      </c>
      <c r="BG32" s="175">
        <v>0</v>
      </c>
      <c r="BH32" s="175">
        <v>0</v>
      </c>
      <c r="BI32" s="207">
        <v>0</v>
      </c>
      <c r="BJ32" s="207">
        <v>-399.84</v>
      </c>
      <c r="BK32" s="207">
        <v>-6830.599999999999</v>
      </c>
      <c r="BL32" s="207">
        <v>-466.48</v>
      </c>
      <c r="BM32" s="207">
        <v>0</v>
      </c>
      <c r="BN32" s="207">
        <v>0</v>
      </c>
      <c r="BO32" s="207">
        <v>53239</v>
      </c>
      <c r="BP32" s="207">
        <v>-23890.789868091324</v>
      </c>
      <c r="BQ32" s="207">
        <v>-70904.96</v>
      </c>
      <c r="BR32" s="207">
        <v>83056.90863813274</v>
      </c>
      <c r="BS32" s="207">
        <v>201096</v>
      </c>
      <c r="BT32" s="207">
        <v>75004</v>
      </c>
      <c r="BU32" s="207">
        <v>202131.85211242025</v>
      </c>
      <c r="BV32" s="207">
        <v>12153.77722601064</v>
      </c>
      <c r="BW32" s="207">
        <v>33334.52188881473</v>
      </c>
      <c r="BX32" s="207">
        <v>79746.42832374311</v>
      </c>
      <c r="BY32" s="207">
        <v>132875.38595823853</v>
      </c>
      <c r="BZ32" s="207">
        <v>184969.65485741253</v>
      </c>
      <c r="CA32" s="207">
        <v>61744.17835344121</v>
      </c>
      <c r="CB32" s="207">
        <v>105025.73872890107</v>
      </c>
      <c r="CC32" s="207">
        <v>149.94</v>
      </c>
      <c r="CD32" s="207">
        <v>-24097.162369722362</v>
      </c>
      <c r="CE32" s="207">
        <v>189649.26379954026</v>
      </c>
      <c r="CF32" s="207">
        <v>-15618.946068551071</v>
      </c>
      <c r="CG32" s="207">
        <v>75651.23753112988</v>
      </c>
      <c r="CH32" s="207">
        <v>152524.12390698225</v>
      </c>
      <c r="CI32" s="207">
        <v>0</v>
      </c>
      <c r="CJ32" s="207">
        <v>1430160.5523860783</v>
      </c>
      <c r="CK32" s="207">
        <v>-373002</v>
      </c>
      <c r="CL32" s="207">
        <v>57262.8</v>
      </c>
      <c r="CM32" s="207">
        <v>105758.938</v>
      </c>
      <c r="CN32" s="207">
        <v>-48496.13799999999</v>
      </c>
      <c r="CO32" s="207">
        <v>3612188.40244742</v>
      </c>
      <c r="CP32" s="207">
        <v>4591967.668308713</v>
      </c>
      <c r="CQ32" s="207">
        <v>1707</v>
      </c>
    </row>
    <row r="33" spans="1:95" ht="11.25">
      <c r="A33" s="207">
        <v>102</v>
      </c>
      <c r="B33" s="207" t="s">
        <v>90</v>
      </c>
      <c r="C33" s="207">
        <v>10091</v>
      </c>
      <c r="D33" s="207">
        <v>36736983.05</v>
      </c>
      <c r="E33" s="207">
        <v>12765094.903275007</v>
      </c>
      <c r="F33" s="207">
        <v>2107720.1130018462</v>
      </c>
      <c r="G33" s="207">
        <v>51609798.06627685</v>
      </c>
      <c r="H33" s="207">
        <v>3664.46</v>
      </c>
      <c r="I33" s="207">
        <v>36978065.86</v>
      </c>
      <c r="J33" s="207">
        <v>14631732.206276849</v>
      </c>
      <c r="K33" s="207">
        <v>384247.6701424028</v>
      </c>
      <c r="L33" s="207">
        <v>-858016.8585713215</v>
      </c>
      <c r="M33" s="207">
        <v>0</v>
      </c>
      <c r="N33" s="207">
        <v>14157963.017847931</v>
      </c>
      <c r="O33" s="207">
        <v>7308846.804797642</v>
      </c>
      <c r="P33" s="207">
        <v>21466809.822645575</v>
      </c>
      <c r="Q33" s="207">
        <v>531</v>
      </c>
      <c r="R33" s="207">
        <v>96</v>
      </c>
      <c r="S33" s="207">
        <v>628</v>
      </c>
      <c r="T33" s="207">
        <v>312</v>
      </c>
      <c r="U33" s="207">
        <v>308</v>
      </c>
      <c r="V33" s="207">
        <v>5344</v>
      </c>
      <c r="W33" s="207">
        <v>1568</v>
      </c>
      <c r="X33" s="207">
        <v>928</v>
      </c>
      <c r="Y33" s="207">
        <v>376</v>
      </c>
      <c r="Z33" s="207">
        <v>17</v>
      </c>
      <c r="AA33" s="207">
        <v>0</v>
      </c>
      <c r="AB33" s="207">
        <v>9692</v>
      </c>
      <c r="AC33" s="207">
        <v>382</v>
      </c>
      <c r="AD33" s="207">
        <v>2872</v>
      </c>
      <c r="AE33" s="481">
        <v>1.0707164995984597</v>
      </c>
      <c r="AF33" s="207">
        <v>12765094.903275007</v>
      </c>
      <c r="AG33" s="207" t="e">
        <v>#DIV/0!</v>
      </c>
      <c r="AH33" s="207" t="e">
        <v>#DIV/0!</v>
      </c>
      <c r="AI33" s="207" t="e">
        <v>#DIV/0!</v>
      </c>
      <c r="AJ33" s="175">
        <v>314</v>
      </c>
      <c r="AK33" s="175">
        <v>4578</v>
      </c>
      <c r="AL33" s="175">
        <v>0.7030368649673253</v>
      </c>
      <c r="AM33" s="175">
        <v>382</v>
      </c>
      <c r="AN33" s="175">
        <v>0.037855514815181845</v>
      </c>
      <c r="AO33" s="175">
        <v>0.034574435704718846</v>
      </c>
      <c r="AP33" s="175">
        <v>0</v>
      </c>
      <c r="AQ33" s="175">
        <v>17</v>
      </c>
      <c r="AR33" s="175">
        <v>0</v>
      </c>
      <c r="AS33" s="175">
        <v>0</v>
      </c>
      <c r="AT33" s="175">
        <v>0</v>
      </c>
      <c r="AU33" s="175">
        <v>532.64</v>
      </c>
      <c r="AV33" s="175">
        <v>18.945253829978974</v>
      </c>
      <c r="AW33" s="175">
        <v>0.9580511458860361</v>
      </c>
      <c r="AX33" s="175">
        <v>441</v>
      </c>
      <c r="AY33" s="175">
        <v>2885</v>
      </c>
      <c r="AZ33" s="175">
        <v>0.15285961871750434</v>
      </c>
      <c r="BA33" s="175">
        <v>0.09167578263326984</v>
      </c>
      <c r="BB33" s="175">
        <v>0</v>
      </c>
      <c r="BC33" s="207">
        <v>4075</v>
      </c>
      <c r="BD33" s="175">
        <v>4121</v>
      </c>
      <c r="BE33" s="175">
        <v>0.988837660761951</v>
      </c>
      <c r="BF33" s="175">
        <v>0.5799307781708579</v>
      </c>
      <c r="BG33" s="175">
        <v>0</v>
      </c>
      <c r="BH33" s="175">
        <v>0</v>
      </c>
      <c r="BI33" s="207">
        <v>0</v>
      </c>
      <c r="BJ33" s="207">
        <v>-2421.8399999999997</v>
      </c>
      <c r="BK33" s="207">
        <v>-41373.1</v>
      </c>
      <c r="BL33" s="207">
        <v>-2825.4800000000005</v>
      </c>
      <c r="BM33" s="207">
        <v>0</v>
      </c>
      <c r="BN33" s="207">
        <v>0</v>
      </c>
      <c r="BO33" s="207">
        <v>10018</v>
      </c>
      <c r="BP33" s="207">
        <v>-296204.245987186</v>
      </c>
      <c r="BQ33" s="207">
        <v>-429472.96</v>
      </c>
      <c r="BR33" s="207">
        <v>66100.35522380471</v>
      </c>
      <c r="BS33" s="207">
        <v>957097</v>
      </c>
      <c r="BT33" s="207">
        <v>307625</v>
      </c>
      <c r="BU33" s="207">
        <v>775785.650171192</v>
      </c>
      <c r="BV33" s="207">
        <v>36395.60139388675</v>
      </c>
      <c r="BW33" s="207">
        <v>60999.028802497414</v>
      </c>
      <c r="BX33" s="207">
        <v>342628.85533858417</v>
      </c>
      <c r="BY33" s="207">
        <v>602833.9381420163</v>
      </c>
      <c r="BZ33" s="207">
        <v>951555.9253372285</v>
      </c>
      <c r="CA33" s="207">
        <v>298048.6815636204</v>
      </c>
      <c r="CB33" s="207">
        <v>488371.1271958896</v>
      </c>
      <c r="CC33" s="207">
        <v>908.1899999999999</v>
      </c>
      <c r="CD33" s="207">
        <v>-3513.2418305016763</v>
      </c>
      <c r="CE33" s="207">
        <v>536794.5574158644</v>
      </c>
      <c r="CF33" s="207">
        <v>-858016.8585713215</v>
      </c>
      <c r="CG33" s="207">
        <v>453291.1640225614</v>
      </c>
      <c r="CH33" s="207">
        <v>721016.9036142594</v>
      </c>
      <c r="CI33" s="207">
        <v>0</v>
      </c>
      <c r="CJ33" s="207">
        <v>7308846.804797642</v>
      </c>
      <c r="CK33" s="207">
        <v>612659</v>
      </c>
      <c r="CL33" s="207">
        <v>307037.68000000005</v>
      </c>
      <c r="CM33" s="207">
        <v>99896.318</v>
      </c>
      <c r="CN33" s="207">
        <v>207141.36200000005</v>
      </c>
      <c r="CO33" s="207">
        <v>22079468.822645575</v>
      </c>
      <c r="CP33" s="207">
        <v>25671626.4804503</v>
      </c>
      <c r="CQ33" s="207">
        <v>10207</v>
      </c>
    </row>
    <row r="34" spans="1:95" ht="11.25">
      <c r="A34" s="207">
        <v>103</v>
      </c>
      <c r="B34" s="207" t="s">
        <v>91</v>
      </c>
      <c r="C34" s="207">
        <v>2235</v>
      </c>
      <c r="D34" s="207">
        <v>8257156.05</v>
      </c>
      <c r="E34" s="207">
        <v>2737257.842512997</v>
      </c>
      <c r="F34" s="207">
        <v>445845.21618666133</v>
      </c>
      <c r="G34" s="207">
        <v>11440259.108699657</v>
      </c>
      <c r="H34" s="207">
        <v>3664.46</v>
      </c>
      <c r="I34" s="207">
        <v>8190068.1</v>
      </c>
      <c r="J34" s="207">
        <v>3250191.0086996574</v>
      </c>
      <c r="K34" s="207">
        <v>41551.71812880393</v>
      </c>
      <c r="L34" s="207">
        <v>-194980.7250422989</v>
      </c>
      <c r="M34" s="207">
        <v>0</v>
      </c>
      <c r="N34" s="207">
        <v>3096762.0017861626</v>
      </c>
      <c r="O34" s="207">
        <v>1829654.2313146037</v>
      </c>
      <c r="P34" s="207">
        <v>4926416.233100766</v>
      </c>
      <c r="Q34" s="207">
        <v>99</v>
      </c>
      <c r="R34" s="207">
        <v>23</v>
      </c>
      <c r="S34" s="207">
        <v>152</v>
      </c>
      <c r="T34" s="207">
        <v>81</v>
      </c>
      <c r="U34" s="207">
        <v>74</v>
      </c>
      <c r="V34" s="207">
        <v>1184</v>
      </c>
      <c r="W34" s="207">
        <v>374</v>
      </c>
      <c r="X34" s="207">
        <v>153</v>
      </c>
      <c r="Y34" s="207">
        <v>95</v>
      </c>
      <c r="Z34" s="207">
        <v>5</v>
      </c>
      <c r="AA34" s="207">
        <v>0</v>
      </c>
      <c r="AB34" s="207">
        <v>2192</v>
      </c>
      <c r="AC34" s="207">
        <v>38</v>
      </c>
      <c r="AD34" s="207">
        <v>622</v>
      </c>
      <c r="AE34" s="481">
        <v>1.0366277598681244</v>
      </c>
      <c r="AF34" s="207">
        <v>2737257.842512997</v>
      </c>
      <c r="AG34" s="207" t="e">
        <v>#DIV/0!</v>
      </c>
      <c r="AH34" s="207" t="e">
        <v>#DIV/0!</v>
      </c>
      <c r="AI34" s="207" t="e">
        <v>#DIV/0!</v>
      </c>
      <c r="AJ34" s="175">
        <v>93</v>
      </c>
      <c r="AK34" s="175">
        <v>1044</v>
      </c>
      <c r="AL34" s="175">
        <v>0.9130754978625162</v>
      </c>
      <c r="AM34" s="175">
        <v>38</v>
      </c>
      <c r="AN34" s="175">
        <v>0.017002237136465325</v>
      </c>
      <c r="AO34" s="175">
        <v>0.01372115802600233</v>
      </c>
      <c r="AP34" s="175">
        <v>0</v>
      </c>
      <c r="AQ34" s="175">
        <v>5</v>
      </c>
      <c r="AR34" s="175">
        <v>0</v>
      </c>
      <c r="AS34" s="175">
        <v>0</v>
      </c>
      <c r="AT34" s="175">
        <v>0</v>
      </c>
      <c r="AU34" s="175">
        <v>147.96</v>
      </c>
      <c r="AV34" s="175">
        <v>15.105433901054338</v>
      </c>
      <c r="AW34" s="175">
        <v>1.2015889288454196</v>
      </c>
      <c r="AX34" s="175">
        <v>106</v>
      </c>
      <c r="AY34" s="175">
        <v>661</v>
      </c>
      <c r="AZ34" s="175">
        <v>0.16036308623298035</v>
      </c>
      <c r="BA34" s="175">
        <v>0.09917925014874585</v>
      </c>
      <c r="BB34" s="175">
        <v>0</v>
      </c>
      <c r="BC34" s="207">
        <v>627</v>
      </c>
      <c r="BD34" s="175">
        <v>906</v>
      </c>
      <c r="BE34" s="175">
        <v>0.6920529801324503</v>
      </c>
      <c r="BF34" s="175">
        <v>0.2831460975413572</v>
      </c>
      <c r="BG34" s="175">
        <v>0</v>
      </c>
      <c r="BH34" s="175">
        <v>0</v>
      </c>
      <c r="BI34" s="207">
        <v>0</v>
      </c>
      <c r="BJ34" s="207">
        <v>-536.4</v>
      </c>
      <c r="BK34" s="207">
        <v>-9163.5</v>
      </c>
      <c r="BL34" s="207">
        <v>-625.8000000000001</v>
      </c>
      <c r="BM34" s="207">
        <v>0</v>
      </c>
      <c r="BN34" s="207">
        <v>0</v>
      </c>
      <c r="BO34" s="207">
        <v>-12271</v>
      </c>
      <c r="BP34" s="207">
        <v>-102955.94018985443</v>
      </c>
      <c r="BQ34" s="207">
        <v>-95121.6</v>
      </c>
      <c r="BR34" s="207">
        <v>46918.21716419887</v>
      </c>
      <c r="BS34" s="207">
        <v>237213</v>
      </c>
      <c r="BT34" s="207">
        <v>76959</v>
      </c>
      <c r="BU34" s="207">
        <v>185381.41894099</v>
      </c>
      <c r="BV34" s="207">
        <v>8896.713697212512</v>
      </c>
      <c r="BW34" s="207">
        <v>23020.65466639808</v>
      </c>
      <c r="BX34" s="207">
        <v>81482.30875896385</v>
      </c>
      <c r="BY34" s="207">
        <v>137785.34401540196</v>
      </c>
      <c r="BZ34" s="207">
        <v>228247.47389965283</v>
      </c>
      <c r="CA34" s="207">
        <v>63114.29034411508</v>
      </c>
      <c r="CB34" s="207">
        <v>116107.3790465076</v>
      </c>
      <c r="CC34" s="207">
        <v>201.15</v>
      </c>
      <c r="CD34" s="207">
        <v>13758.340708318348</v>
      </c>
      <c r="CE34" s="207">
        <v>151299.66514755558</v>
      </c>
      <c r="CF34" s="207">
        <v>-194980.7250422989</v>
      </c>
      <c r="CG34" s="207">
        <v>100480.30727503837</v>
      </c>
      <c r="CH34" s="207">
        <v>156772.0089256619</v>
      </c>
      <c r="CI34" s="207">
        <v>0</v>
      </c>
      <c r="CJ34" s="207">
        <v>1829654.2313146037</v>
      </c>
      <c r="CK34" s="207">
        <v>-418890</v>
      </c>
      <c r="CL34" s="207">
        <v>55967.57</v>
      </c>
      <c r="CM34" s="207">
        <v>53172.600000000006</v>
      </c>
      <c r="CN34" s="207">
        <v>2794.969999999994</v>
      </c>
      <c r="CO34" s="207">
        <v>4507526.233100766</v>
      </c>
      <c r="CP34" s="207">
        <v>5311254.54527275</v>
      </c>
      <c r="CQ34" s="207">
        <v>2290</v>
      </c>
    </row>
    <row r="35" spans="1:95" ht="11.25">
      <c r="A35" s="207">
        <v>105</v>
      </c>
      <c r="B35" s="207" t="s">
        <v>92</v>
      </c>
      <c r="C35" s="207">
        <v>2287</v>
      </c>
      <c r="D35" s="207">
        <v>8158973.8100000005</v>
      </c>
      <c r="E35" s="207">
        <v>4912854.667731567</v>
      </c>
      <c r="F35" s="207">
        <v>1411896.593917918</v>
      </c>
      <c r="G35" s="207">
        <v>14483725.071649484</v>
      </c>
      <c r="H35" s="207">
        <v>3664.46</v>
      </c>
      <c r="I35" s="207">
        <v>8380620.0200000005</v>
      </c>
      <c r="J35" s="207">
        <v>6103105.051649484</v>
      </c>
      <c r="K35" s="207">
        <v>2288396.8068268513</v>
      </c>
      <c r="L35" s="207">
        <v>-5244.625232234946</v>
      </c>
      <c r="M35" s="207">
        <v>0</v>
      </c>
      <c r="N35" s="207">
        <v>8386257.233244101</v>
      </c>
      <c r="O35" s="207">
        <v>2004647.326607307</v>
      </c>
      <c r="P35" s="207">
        <v>10390904.559851408</v>
      </c>
      <c r="Q35" s="207">
        <v>74</v>
      </c>
      <c r="R35" s="207">
        <v>12</v>
      </c>
      <c r="S35" s="207">
        <v>89</v>
      </c>
      <c r="T35" s="207">
        <v>48</v>
      </c>
      <c r="U35" s="207">
        <v>57</v>
      </c>
      <c r="V35" s="207">
        <v>1123</v>
      </c>
      <c r="W35" s="207">
        <v>489</v>
      </c>
      <c r="X35" s="207">
        <v>286</v>
      </c>
      <c r="Y35" s="207">
        <v>109</v>
      </c>
      <c r="Z35" s="207">
        <v>2</v>
      </c>
      <c r="AA35" s="207">
        <v>0</v>
      </c>
      <c r="AB35" s="207">
        <v>2253</v>
      </c>
      <c r="AC35" s="207">
        <v>32</v>
      </c>
      <c r="AD35" s="207">
        <v>884</v>
      </c>
      <c r="AE35" s="481">
        <v>1.8182450158679482</v>
      </c>
      <c r="AF35" s="207">
        <v>4912854.667731567</v>
      </c>
      <c r="AG35" s="207" t="e">
        <v>#DIV/0!</v>
      </c>
      <c r="AH35" s="207" t="e">
        <v>#DIV/0!</v>
      </c>
      <c r="AI35" s="207" t="e">
        <v>#DIV/0!</v>
      </c>
      <c r="AJ35" s="175">
        <v>119</v>
      </c>
      <c r="AK35" s="175">
        <v>928</v>
      </c>
      <c r="AL35" s="175">
        <v>1.3143869061972513</v>
      </c>
      <c r="AM35" s="175">
        <v>32</v>
      </c>
      <c r="AN35" s="175">
        <v>0.013992129427197202</v>
      </c>
      <c r="AO35" s="175">
        <v>0.010711050316734205</v>
      </c>
      <c r="AP35" s="175">
        <v>0</v>
      </c>
      <c r="AQ35" s="175">
        <v>2</v>
      </c>
      <c r="AR35" s="175">
        <v>0</v>
      </c>
      <c r="AS35" s="175">
        <v>0</v>
      </c>
      <c r="AT35" s="175">
        <v>0</v>
      </c>
      <c r="AU35" s="175">
        <v>1421.1</v>
      </c>
      <c r="AV35" s="175">
        <v>1.6093167264794879</v>
      </c>
      <c r="AW35" s="175">
        <v>11.278402717294144</v>
      </c>
      <c r="AX35" s="175">
        <v>62</v>
      </c>
      <c r="AY35" s="175">
        <v>512</v>
      </c>
      <c r="AZ35" s="175">
        <v>0.12109375</v>
      </c>
      <c r="BA35" s="175">
        <v>0.05990991391576551</v>
      </c>
      <c r="BB35" s="175">
        <v>1.503033</v>
      </c>
      <c r="BC35" s="207">
        <v>598</v>
      </c>
      <c r="BD35" s="175">
        <v>755</v>
      </c>
      <c r="BE35" s="175">
        <v>0.7920529801324503</v>
      </c>
      <c r="BF35" s="175">
        <v>0.3831460975413572</v>
      </c>
      <c r="BG35" s="175">
        <v>0</v>
      </c>
      <c r="BH35" s="175">
        <v>0</v>
      </c>
      <c r="BI35" s="207">
        <v>0</v>
      </c>
      <c r="BJ35" s="207">
        <v>-548.88</v>
      </c>
      <c r="BK35" s="207">
        <v>-9376.699999999999</v>
      </c>
      <c r="BL35" s="207">
        <v>-640.36</v>
      </c>
      <c r="BM35" s="207">
        <v>0</v>
      </c>
      <c r="BN35" s="207">
        <v>0</v>
      </c>
      <c r="BO35" s="207">
        <v>22819</v>
      </c>
      <c r="BP35" s="207">
        <v>-27209.42801480781</v>
      </c>
      <c r="BQ35" s="207">
        <v>-97334.72</v>
      </c>
      <c r="BR35" s="207">
        <v>133478.1041463446</v>
      </c>
      <c r="BS35" s="207">
        <v>279305</v>
      </c>
      <c r="BT35" s="207">
        <v>81640</v>
      </c>
      <c r="BU35" s="207">
        <v>204901.33930158522</v>
      </c>
      <c r="BV35" s="207">
        <v>13280.894779769194</v>
      </c>
      <c r="BW35" s="207">
        <v>45938.39271567553</v>
      </c>
      <c r="BX35" s="207">
        <v>110928.5401283251</v>
      </c>
      <c r="BY35" s="207">
        <v>130583.63289368991</v>
      </c>
      <c r="BZ35" s="207">
        <v>213796.88144553293</v>
      </c>
      <c r="CA35" s="207">
        <v>64702.38056766983</v>
      </c>
      <c r="CB35" s="207">
        <v>116775.48090499833</v>
      </c>
      <c r="CC35" s="207">
        <v>205.82999999999998</v>
      </c>
      <c r="CD35" s="207">
        <v>-15027.77627256823</v>
      </c>
      <c r="CE35" s="207">
        <v>270950.49278257287</v>
      </c>
      <c r="CF35" s="207">
        <v>-5244.625232234946</v>
      </c>
      <c r="CG35" s="207">
        <v>127211.20490879647</v>
      </c>
      <c r="CH35" s="207">
        <v>160685.40076377508</v>
      </c>
      <c r="CI35" s="207">
        <v>0</v>
      </c>
      <c r="CJ35" s="207">
        <v>2004647.326607307</v>
      </c>
      <c r="CK35" s="207">
        <v>-481829</v>
      </c>
      <c r="CL35" s="207">
        <v>13634</v>
      </c>
      <c r="CM35" s="207">
        <v>31358.2</v>
      </c>
      <c r="CN35" s="207">
        <v>-17724.2</v>
      </c>
      <c r="CO35" s="207">
        <v>9909075.559851408</v>
      </c>
      <c r="CP35" s="207">
        <v>10903571.316420984</v>
      </c>
      <c r="CQ35" s="207">
        <v>2326</v>
      </c>
    </row>
    <row r="36" spans="1:95" ht="11.25">
      <c r="A36" s="207">
        <v>106</v>
      </c>
      <c r="B36" s="207" t="s">
        <v>93</v>
      </c>
      <c r="C36" s="207">
        <v>46504</v>
      </c>
      <c r="D36" s="207">
        <v>157757283.59000003</v>
      </c>
      <c r="E36" s="207">
        <v>54932013.990793645</v>
      </c>
      <c r="F36" s="207">
        <v>10766837.225770433</v>
      </c>
      <c r="G36" s="207">
        <v>223456134.80656412</v>
      </c>
      <c r="H36" s="207">
        <v>3664.46</v>
      </c>
      <c r="I36" s="207">
        <v>170412047.84</v>
      </c>
      <c r="J36" s="207">
        <v>53044086.96656412</v>
      </c>
      <c r="K36" s="207">
        <v>1661344.1914253114</v>
      </c>
      <c r="L36" s="207">
        <v>-6745564.142260049</v>
      </c>
      <c r="M36" s="207">
        <v>0</v>
      </c>
      <c r="N36" s="207">
        <v>47959867.01572938</v>
      </c>
      <c r="O36" s="207">
        <v>-3162048.8793508364</v>
      </c>
      <c r="P36" s="207">
        <v>44797818.13637855</v>
      </c>
      <c r="Q36" s="207">
        <v>2566</v>
      </c>
      <c r="R36" s="207">
        <v>488</v>
      </c>
      <c r="S36" s="207">
        <v>3233</v>
      </c>
      <c r="T36" s="207">
        <v>1549</v>
      </c>
      <c r="U36" s="207">
        <v>1579</v>
      </c>
      <c r="V36" s="207">
        <v>27014</v>
      </c>
      <c r="W36" s="207">
        <v>5877</v>
      </c>
      <c r="X36" s="207">
        <v>2981</v>
      </c>
      <c r="Y36" s="207">
        <v>1217</v>
      </c>
      <c r="Z36" s="207">
        <v>419</v>
      </c>
      <c r="AA36" s="207">
        <v>0</v>
      </c>
      <c r="AB36" s="207">
        <v>43384</v>
      </c>
      <c r="AC36" s="207">
        <v>2701</v>
      </c>
      <c r="AD36" s="207">
        <v>10075</v>
      </c>
      <c r="AE36" s="481">
        <v>0.9998155003206325</v>
      </c>
      <c r="AF36" s="207">
        <v>54932013.990793645</v>
      </c>
      <c r="AG36" s="207" t="e">
        <v>#DIV/0!</v>
      </c>
      <c r="AH36" s="207" t="e">
        <v>#DIV/0!</v>
      </c>
      <c r="AI36" s="207" t="e">
        <v>#DIV/0!</v>
      </c>
      <c r="AJ36" s="175">
        <v>1906</v>
      </c>
      <c r="AK36" s="175">
        <v>22843</v>
      </c>
      <c r="AL36" s="175">
        <v>0.8552517970864691</v>
      </c>
      <c r="AM36" s="175">
        <v>2701</v>
      </c>
      <c r="AN36" s="175">
        <v>0.05808102528814726</v>
      </c>
      <c r="AO36" s="175">
        <v>0.05479994617768426</v>
      </c>
      <c r="AP36" s="175">
        <v>0</v>
      </c>
      <c r="AQ36" s="175">
        <v>419</v>
      </c>
      <c r="AR36" s="175">
        <v>0</v>
      </c>
      <c r="AS36" s="175">
        <v>0</v>
      </c>
      <c r="AT36" s="175">
        <v>0</v>
      </c>
      <c r="AU36" s="175">
        <v>322.68</v>
      </c>
      <c r="AV36" s="175">
        <v>144.11801165241104</v>
      </c>
      <c r="AW36" s="175">
        <v>0.12594207991634834</v>
      </c>
      <c r="AX36" s="175">
        <v>2339</v>
      </c>
      <c r="AY36" s="175">
        <v>14885</v>
      </c>
      <c r="AZ36" s="175">
        <v>0.1571380584481021</v>
      </c>
      <c r="BA36" s="175">
        <v>0.09595422236386761</v>
      </c>
      <c r="BB36" s="175">
        <v>0</v>
      </c>
      <c r="BC36" s="207">
        <v>19321</v>
      </c>
      <c r="BD36" s="175">
        <v>20274</v>
      </c>
      <c r="BE36" s="175">
        <v>0.9529939824405643</v>
      </c>
      <c r="BF36" s="175">
        <v>0.5440870998494712</v>
      </c>
      <c r="BG36" s="175">
        <v>0</v>
      </c>
      <c r="BH36" s="175">
        <v>0</v>
      </c>
      <c r="BI36" s="207">
        <v>0</v>
      </c>
      <c r="BJ36" s="207">
        <v>-11160.96</v>
      </c>
      <c r="BK36" s="207">
        <v>-190666.4</v>
      </c>
      <c r="BL36" s="207">
        <v>-13021.12</v>
      </c>
      <c r="BM36" s="207">
        <v>0</v>
      </c>
      <c r="BN36" s="207">
        <v>0</v>
      </c>
      <c r="BO36" s="207">
        <v>763367</v>
      </c>
      <c r="BP36" s="207">
        <v>-4350567.074343957</v>
      </c>
      <c r="BQ36" s="207">
        <v>-1979210.24</v>
      </c>
      <c r="BR36" s="207">
        <v>-44193.19768912345</v>
      </c>
      <c r="BS36" s="207">
        <v>2890456</v>
      </c>
      <c r="BT36" s="207">
        <v>981270</v>
      </c>
      <c r="BU36" s="207">
        <v>2082748.6046677604</v>
      </c>
      <c r="BV36" s="207">
        <v>51781.00130433286</v>
      </c>
      <c r="BW36" s="207">
        <v>167661.500230224</v>
      </c>
      <c r="BX36" s="207">
        <v>857276.2194981568</v>
      </c>
      <c r="BY36" s="207">
        <v>2081020.026385405</v>
      </c>
      <c r="BZ36" s="207">
        <v>3226311.8016826194</v>
      </c>
      <c r="CA36" s="207">
        <v>990830.6447778402</v>
      </c>
      <c r="CB36" s="207">
        <v>1709097.3955632143</v>
      </c>
      <c r="CC36" s="207">
        <v>4185.36</v>
      </c>
      <c r="CD36" s="207">
        <v>-64129.93352997792</v>
      </c>
      <c r="CE36" s="207">
        <v>2667893.412083909</v>
      </c>
      <c r="CF36" s="207">
        <v>-6745564.142260049</v>
      </c>
      <c r="CG36" s="207">
        <v>1962625.2233030102</v>
      </c>
      <c r="CH36" s="207">
        <v>2348149.0288402927</v>
      </c>
      <c r="CI36" s="207">
        <v>0</v>
      </c>
      <c r="CJ36" s="207">
        <v>-3162048.8793508364</v>
      </c>
      <c r="CK36" s="207">
        <v>-2496595</v>
      </c>
      <c r="CL36" s="207">
        <v>1322702.5099999998</v>
      </c>
      <c r="CM36" s="207">
        <v>1311000.4477999995</v>
      </c>
      <c r="CN36" s="207">
        <v>11702.062200000277</v>
      </c>
      <c r="CO36" s="207">
        <v>42301223.13637855</v>
      </c>
      <c r="CP36" s="207">
        <v>50840499.10488774</v>
      </c>
      <c r="CQ36" s="207">
        <v>46739</v>
      </c>
    </row>
    <row r="37" spans="1:95" ht="11.25">
      <c r="A37" s="207">
        <v>108</v>
      </c>
      <c r="B37" s="207" t="s">
        <v>94</v>
      </c>
      <c r="C37" s="207">
        <v>10510</v>
      </c>
      <c r="D37" s="207">
        <v>38375122.89000001</v>
      </c>
      <c r="E37" s="207">
        <v>12396638.294562792</v>
      </c>
      <c r="F37" s="207">
        <v>1720360.5806995719</v>
      </c>
      <c r="G37" s="207">
        <v>52492121.76526237</v>
      </c>
      <c r="H37" s="207">
        <v>3664.46</v>
      </c>
      <c r="I37" s="207">
        <v>38513474.6</v>
      </c>
      <c r="J37" s="207">
        <v>13978647.165262371</v>
      </c>
      <c r="K37" s="207">
        <v>194045.78329995568</v>
      </c>
      <c r="L37" s="207">
        <v>-710548.9806146831</v>
      </c>
      <c r="M37" s="207">
        <v>0</v>
      </c>
      <c r="N37" s="207">
        <v>13462143.967947645</v>
      </c>
      <c r="O37" s="207">
        <v>5441189.468141949</v>
      </c>
      <c r="P37" s="207">
        <v>18903333.436089594</v>
      </c>
      <c r="Q37" s="207">
        <v>682</v>
      </c>
      <c r="R37" s="207">
        <v>130</v>
      </c>
      <c r="S37" s="207">
        <v>755</v>
      </c>
      <c r="T37" s="207">
        <v>401</v>
      </c>
      <c r="U37" s="207">
        <v>404</v>
      </c>
      <c r="V37" s="207">
        <v>5710</v>
      </c>
      <c r="W37" s="207">
        <v>1393</v>
      </c>
      <c r="X37" s="207">
        <v>730</v>
      </c>
      <c r="Y37" s="207">
        <v>305</v>
      </c>
      <c r="Z37" s="207">
        <v>17</v>
      </c>
      <c r="AA37" s="207">
        <v>2</v>
      </c>
      <c r="AB37" s="207">
        <v>10294</v>
      </c>
      <c r="AC37" s="207">
        <v>197</v>
      </c>
      <c r="AD37" s="207">
        <v>2428</v>
      </c>
      <c r="AE37" s="481">
        <v>0.998356999231805</v>
      </c>
      <c r="AF37" s="207">
        <v>12396638.294562792</v>
      </c>
      <c r="AG37" s="207" t="e">
        <v>#DIV/0!</v>
      </c>
      <c r="AH37" s="207" t="e">
        <v>#DIV/0!</v>
      </c>
      <c r="AI37" s="207" t="e">
        <v>#DIV/0!</v>
      </c>
      <c r="AJ37" s="175">
        <v>381</v>
      </c>
      <c r="AK37" s="175">
        <v>4831</v>
      </c>
      <c r="AL37" s="175">
        <v>0.8083737028371558</v>
      </c>
      <c r="AM37" s="175">
        <v>197</v>
      </c>
      <c r="AN37" s="175">
        <v>0.018744053282588012</v>
      </c>
      <c r="AO37" s="175">
        <v>0.015462974172125016</v>
      </c>
      <c r="AP37" s="175">
        <v>0</v>
      </c>
      <c r="AQ37" s="175">
        <v>17</v>
      </c>
      <c r="AR37" s="175">
        <v>2</v>
      </c>
      <c r="AS37" s="175">
        <v>0</v>
      </c>
      <c r="AT37" s="175">
        <v>0</v>
      </c>
      <c r="AU37" s="175">
        <v>463.89</v>
      </c>
      <c r="AV37" s="175">
        <v>22.656233158722973</v>
      </c>
      <c r="AW37" s="175">
        <v>0.8011270900045872</v>
      </c>
      <c r="AX37" s="175">
        <v>425</v>
      </c>
      <c r="AY37" s="175">
        <v>3351</v>
      </c>
      <c r="AZ37" s="175">
        <v>0.12682781259325573</v>
      </c>
      <c r="BA37" s="175">
        <v>0.06564397650902123</v>
      </c>
      <c r="BB37" s="175">
        <v>0</v>
      </c>
      <c r="BC37" s="207">
        <v>2906</v>
      </c>
      <c r="BD37" s="175">
        <v>4211</v>
      </c>
      <c r="BE37" s="175">
        <v>0.6900973640465448</v>
      </c>
      <c r="BF37" s="175">
        <v>0.28119048145545167</v>
      </c>
      <c r="BG37" s="175">
        <v>0</v>
      </c>
      <c r="BH37" s="175">
        <v>2</v>
      </c>
      <c r="BI37" s="207">
        <v>0</v>
      </c>
      <c r="BJ37" s="207">
        <v>-2522.4</v>
      </c>
      <c r="BK37" s="207">
        <v>-43090.99999999999</v>
      </c>
      <c r="BL37" s="207">
        <v>-2942.8</v>
      </c>
      <c r="BM37" s="207">
        <v>0</v>
      </c>
      <c r="BN37" s="207">
        <v>0</v>
      </c>
      <c r="BO37" s="207">
        <v>-12046</v>
      </c>
      <c r="BP37" s="207">
        <v>-243887.65634315566</v>
      </c>
      <c r="BQ37" s="207">
        <v>-447305.60000000003</v>
      </c>
      <c r="BR37" s="207">
        <v>188528.23985093832</v>
      </c>
      <c r="BS37" s="207">
        <v>826508</v>
      </c>
      <c r="BT37" s="207">
        <v>260391</v>
      </c>
      <c r="BU37" s="207">
        <v>579739.51677479</v>
      </c>
      <c r="BV37" s="207">
        <v>24385.922358569595</v>
      </c>
      <c r="BW37" s="207">
        <v>9854.673982785083</v>
      </c>
      <c r="BX37" s="207">
        <v>253279.334823059</v>
      </c>
      <c r="BY37" s="207">
        <v>538688.7448554161</v>
      </c>
      <c r="BZ37" s="207">
        <v>854332.1991434924</v>
      </c>
      <c r="CA37" s="207">
        <v>253482.71560903557</v>
      </c>
      <c r="CB37" s="207">
        <v>467947.8963931009</v>
      </c>
      <c r="CC37" s="207">
        <v>945.9</v>
      </c>
      <c r="CD37" s="207">
        <v>28688.68335582692</v>
      </c>
      <c r="CE37" s="207">
        <v>677562.3757284724</v>
      </c>
      <c r="CF37" s="207">
        <v>-710548.9806146831</v>
      </c>
      <c r="CG37" s="207">
        <v>461040.65252170706</v>
      </c>
      <c r="CH37" s="207">
        <v>634432.2353477506</v>
      </c>
      <c r="CI37" s="207">
        <v>0</v>
      </c>
      <c r="CJ37" s="207">
        <v>5441189.468141949</v>
      </c>
      <c r="CK37" s="207">
        <v>-1133271</v>
      </c>
      <c r="CL37" s="207">
        <v>219507.39999999997</v>
      </c>
      <c r="CM37" s="207">
        <v>309505.434</v>
      </c>
      <c r="CN37" s="207">
        <v>-89998.03400000004</v>
      </c>
      <c r="CO37" s="207">
        <v>17770062.436089594</v>
      </c>
      <c r="CP37" s="207">
        <v>21461001.179692723</v>
      </c>
      <c r="CQ37" s="207">
        <v>10599</v>
      </c>
    </row>
    <row r="38" spans="1:95" ht="11.25">
      <c r="A38" s="207">
        <v>109</v>
      </c>
      <c r="B38" s="207" t="s">
        <v>95</v>
      </c>
      <c r="C38" s="207">
        <v>67532</v>
      </c>
      <c r="D38" s="207">
        <v>238046520.17999998</v>
      </c>
      <c r="E38" s="207">
        <v>80171134.39348027</v>
      </c>
      <c r="F38" s="207">
        <v>16223832.15172418</v>
      </c>
      <c r="G38" s="207">
        <v>334441486.7252044</v>
      </c>
      <c r="H38" s="207">
        <v>3664.46</v>
      </c>
      <c r="I38" s="207">
        <v>247468312.72</v>
      </c>
      <c r="J38" s="207">
        <v>86973174.00520441</v>
      </c>
      <c r="K38" s="207">
        <v>2754423.787732681</v>
      </c>
      <c r="L38" s="207">
        <v>-10461276.382361917</v>
      </c>
      <c r="M38" s="207">
        <v>0</v>
      </c>
      <c r="N38" s="207">
        <v>79266321.41057517</v>
      </c>
      <c r="O38" s="207">
        <v>9417158.055307196</v>
      </c>
      <c r="P38" s="207">
        <v>88683479.46588236</v>
      </c>
      <c r="Q38" s="207">
        <v>3676</v>
      </c>
      <c r="R38" s="207">
        <v>671</v>
      </c>
      <c r="S38" s="207">
        <v>4316</v>
      </c>
      <c r="T38" s="207">
        <v>2145</v>
      </c>
      <c r="U38" s="207">
        <v>2065</v>
      </c>
      <c r="V38" s="207">
        <v>37576</v>
      </c>
      <c r="W38" s="207">
        <v>9623</v>
      </c>
      <c r="X38" s="207">
        <v>5209</v>
      </c>
      <c r="Y38" s="207">
        <v>2251</v>
      </c>
      <c r="Z38" s="207">
        <v>242</v>
      </c>
      <c r="AA38" s="207">
        <v>7</v>
      </c>
      <c r="AB38" s="207">
        <v>63901</v>
      </c>
      <c r="AC38" s="207">
        <v>3382</v>
      </c>
      <c r="AD38" s="207">
        <v>17083</v>
      </c>
      <c r="AE38" s="481">
        <v>1.0048311048638894</v>
      </c>
      <c r="AF38" s="207">
        <v>80171134.39348027</v>
      </c>
      <c r="AG38" s="207" t="e">
        <v>#DIV/0!</v>
      </c>
      <c r="AH38" s="207" t="e">
        <v>#DIV/0!</v>
      </c>
      <c r="AI38" s="207" t="e">
        <v>#DIV/0!</v>
      </c>
      <c r="AJ38" s="175">
        <v>3293</v>
      </c>
      <c r="AK38" s="175">
        <v>31580</v>
      </c>
      <c r="AL38" s="175">
        <v>1.0688182085768048</v>
      </c>
      <c r="AM38" s="175">
        <v>3382</v>
      </c>
      <c r="AN38" s="175">
        <v>0.05007996209204525</v>
      </c>
      <c r="AO38" s="175">
        <v>0.04679888298158225</v>
      </c>
      <c r="AP38" s="175">
        <v>0</v>
      </c>
      <c r="AQ38" s="175">
        <v>242</v>
      </c>
      <c r="AR38" s="175">
        <v>7</v>
      </c>
      <c r="AS38" s="175">
        <v>0</v>
      </c>
      <c r="AT38" s="175">
        <v>0</v>
      </c>
      <c r="AU38" s="175">
        <v>1785.07</v>
      </c>
      <c r="AV38" s="175">
        <v>37.83156963032262</v>
      </c>
      <c r="AW38" s="175">
        <v>0.4797718497612965</v>
      </c>
      <c r="AX38" s="175">
        <v>2729</v>
      </c>
      <c r="AY38" s="175">
        <v>20266</v>
      </c>
      <c r="AZ38" s="175">
        <v>0.13465903483667227</v>
      </c>
      <c r="BA38" s="175">
        <v>0.07347519875243777</v>
      </c>
      <c r="BB38" s="175">
        <v>0</v>
      </c>
      <c r="BC38" s="207">
        <v>28105</v>
      </c>
      <c r="BD38" s="175">
        <v>27284</v>
      </c>
      <c r="BE38" s="175">
        <v>1.0300908957630845</v>
      </c>
      <c r="BF38" s="175">
        <v>0.6211840131719915</v>
      </c>
      <c r="BG38" s="175">
        <v>0</v>
      </c>
      <c r="BH38" s="175">
        <v>7</v>
      </c>
      <c r="BI38" s="207">
        <v>0</v>
      </c>
      <c r="BJ38" s="207">
        <v>-16207.68</v>
      </c>
      <c r="BK38" s="207">
        <v>-276881.19999999995</v>
      </c>
      <c r="BL38" s="207">
        <v>-18908.960000000003</v>
      </c>
      <c r="BM38" s="207">
        <v>0</v>
      </c>
      <c r="BN38" s="207">
        <v>0</v>
      </c>
      <c r="BO38" s="207">
        <v>56873</v>
      </c>
      <c r="BP38" s="207">
        <v>-5645131.383485412</v>
      </c>
      <c r="BQ38" s="207">
        <v>-2874161.92</v>
      </c>
      <c r="BR38" s="207">
        <v>-768345.0770012736</v>
      </c>
      <c r="BS38" s="207">
        <v>4556748</v>
      </c>
      <c r="BT38" s="207">
        <v>1570984</v>
      </c>
      <c r="BU38" s="207">
        <v>3432285.8347071824</v>
      </c>
      <c r="BV38" s="207">
        <v>116664.23442693883</v>
      </c>
      <c r="BW38" s="207">
        <v>300048.3093346076</v>
      </c>
      <c r="BX38" s="207">
        <v>1539308.20603492</v>
      </c>
      <c r="BY38" s="207">
        <v>3208859.746508385</v>
      </c>
      <c r="BZ38" s="207">
        <v>5144768.049881162</v>
      </c>
      <c r="CA38" s="207">
        <v>1560633.0035080516</v>
      </c>
      <c r="CB38" s="207">
        <v>2716617.628774604</v>
      </c>
      <c r="CC38" s="207">
        <v>6077.88</v>
      </c>
      <c r="CD38" s="207">
        <v>237186.82648057723</v>
      </c>
      <c r="CE38" s="207">
        <v>2536063.8411234957</v>
      </c>
      <c r="CF38" s="207">
        <v>-10461276.382361917</v>
      </c>
      <c r="CG38" s="207">
        <v>2937414.531644192</v>
      </c>
      <c r="CH38" s="207">
        <v>3699894.486260504</v>
      </c>
      <c r="CI38" s="207">
        <v>0</v>
      </c>
      <c r="CJ38" s="207">
        <v>9417158.055307196</v>
      </c>
      <c r="CK38" s="207">
        <v>-12529617</v>
      </c>
      <c r="CL38" s="207">
        <v>755528.1099999999</v>
      </c>
      <c r="CM38" s="207">
        <v>798447.9420000002</v>
      </c>
      <c r="CN38" s="207">
        <v>-42919.832000000286</v>
      </c>
      <c r="CO38" s="207">
        <v>76153862.46588236</v>
      </c>
      <c r="CP38" s="207">
        <v>88062291.79906078</v>
      </c>
      <c r="CQ38" s="207">
        <v>67662</v>
      </c>
    </row>
    <row r="39" spans="1:95" ht="11.25">
      <c r="A39" s="207">
        <v>139</v>
      </c>
      <c r="B39" s="207" t="s">
        <v>96</v>
      </c>
      <c r="C39" s="207">
        <v>9862</v>
      </c>
      <c r="D39" s="207">
        <v>39601956.97</v>
      </c>
      <c r="E39" s="207">
        <v>12089008.470181698</v>
      </c>
      <c r="F39" s="207">
        <v>2557694.4440867496</v>
      </c>
      <c r="G39" s="207">
        <v>54248659.88426845</v>
      </c>
      <c r="H39" s="207">
        <v>3664.46</v>
      </c>
      <c r="I39" s="207">
        <v>36138904.52</v>
      </c>
      <c r="J39" s="207">
        <v>18109755.364268444</v>
      </c>
      <c r="K39" s="207">
        <v>200830.0506091852</v>
      </c>
      <c r="L39" s="207">
        <v>-835659.5706839279</v>
      </c>
      <c r="M39" s="207">
        <v>0</v>
      </c>
      <c r="N39" s="207">
        <v>17474925.844193704</v>
      </c>
      <c r="O39" s="207">
        <v>9016912.246026084</v>
      </c>
      <c r="P39" s="207">
        <v>26491838.09021979</v>
      </c>
      <c r="Q39" s="207">
        <v>803</v>
      </c>
      <c r="R39" s="207">
        <v>156</v>
      </c>
      <c r="S39" s="207">
        <v>979</v>
      </c>
      <c r="T39" s="207">
        <v>471</v>
      </c>
      <c r="U39" s="207">
        <v>409</v>
      </c>
      <c r="V39" s="207">
        <v>5034</v>
      </c>
      <c r="W39" s="207">
        <v>1132</v>
      </c>
      <c r="X39" s="207">
        <v>614</v>
      </c>
      <c r="Y39" s="207">
        <v>264</v>
      </c>
      <c r="Z39" s="207">
        <v>15</v>
      </c>
      <c r="AA39" s="207">
        <v>1</v>
      </c>
      <c r="AB39" s="207">
        <v>9780</v>
      </c>
      <c r="AC39" s="207">
        <v>66</v>
      </c>
      <c r="AD39" s="207">
        <v>2010</v>
      </c>
      <c r="AE39" s="481">
        <v>1.0375531112785015</v>
      </c>
      <c r="AF39" s="207">
        <v>12089008.470181698</v>
      </c>
      <c r="AG39" s="207" t="e">
        <v>#DIV/0!</v>
      </c>
      <c r="AH39" s="207" t="e">
        <v>#DIV/0!</v>
      </c>
      <c r="AI39" s="207" t="e">
        <v>#DIV/0!</v>
      </c>
      <c r="AJ39" s="175">
        <v>492</v>
      </c>
      <c r="AK39" s="175">
        <v>4084</v>
      </c>
      <c r="AL39" s="175">
        <v>1.234819867002848</v>
      </c>
      <c r="AM39" s="175">
        <v>66</v>
      </c>
      <c r="AN39" s="175">
        <v>0.006692354491989455</v>
      </c>
      <c r="AO39" s="175">
        <v>0.003411275381526458</v>
      </c>
      <c r="AP39" s="175">
        <v>0</v>
      </c>
      <c r="AQ39" s="175">
        <v>15</v>
      </c>
      <c r="AR39" s="175">
        <v>1</v>
      </c>
      <c r="AS39" s="175">
        <v>0</v>
      </c>
      <c r="AT39" s="175">
        <v>0</v>
      </c>
      <c r="AU39" s="175">
        <v>1614.1</v>
      </c>
      <c r="AV39" s="175">
        <v>6.1099064494145345</v>
      </c>
      <c r="AW39" s="175">
        <v>2.970671039104436</v>
      </c>
      <c r="AX39" s="175">
        <v>319</v>
      </c>
      <c r="AY39" s="175">
        <v>2865</v>
      </c>
      <c r="AZ39" s="175">
        <v>0.11134380453752181</v>
      </c>
      <c r="BA39" s="175">
        <v>0.05015996845328732</v>
      </c>
      <c r="BB39" s="175">
        <v>0</v>
      </c>
      <c r="BC39" s="207">
        <v>2393</v>
      </c>
      <c r="BD39" s="175">
        <v>3328</v>
      </c>
      <c r="BE39" s="175">
        <v>0.7190504807692307</v>
      </c>
      <c r="BF39" s="175">
        <v>0.31014359817813764</v>
      </c>
      <c r="BG39" s="175">
        <v>0</v>
      </c>
      <c r="BH39" s="175">
        <v>1</v>
      </c>
      <c r="BI39" s="207">
        <v>0</v>
      </c>
      <c r="BJ39" s="207">
        <v>-2366.88</v>
      </c>
      <c r="BK39" s="207">
        <v>-40434.2</v>
      </c>
      <c r="BL39" s="207">
        <v>-2761.36</v>
      </c>
      <c r="BM39" s="207">
        <v>0</v>
      </c>
      <c r="BN39" s="207">
        <v>0</v>
      </c>
      <c r="BO39" s="207">
        <v>132064</v>
      </c>
      <c r="BP39" s="207">
        <v>-324188.25439819647</v>
      </c>
      <c r="BQ39" s="207">
        <v>-419726.72000000003</v>
      </c>
      <c r="BR39" s="207">
        <v>-103891.53774344549</v>
      </c>
      <c r="BS39" s="207">
        <v>723887</v>
      </c>
      <c r="BT39" s="207">
        <v>216091</v>
      </c>
      <c r="BU39" s="207">
        <v>530323.5174787409</v>
      </c>
      <c r="BV39" s="207">
        <v>16076.989392230093</v>
      </c>
      <c r="BW39" s="207">
        <v>9193.438746910622</v>
      </c>
      <c r="BX39" s="207">
        <v>255264.1904055092</v>
      </c>
      <c r="BY39" s="207">
        <v>465197.09824793745</v>
      </c>
      <c r="BZ39" s="207">
        <v>685611.4068228325</v>
      </c>
      <c r="CA39" s="207">
        <v>169137.61590244822</v>
      </c>
      <c r="CB39" s="207">
        <v>374548.3823055227</v>
      </c>
      <c r="CC39" s="207">
        <v>887.5799999999999</v>
      </c>
      <c r="CD39" s="207">
        <v>46912.796097451865</v>
      </c>
      <c r="CE39" s="207">
        <v>562204.6237142686</v>
      </c>
      <c r="CF39" s="207">
        <v>-835659.5706839279</v>
      </c>
      <c r="CG39" s="207">
        <v>476468.4053602622</v>
      </c>
      <c r="CH39" s="207">
        <v>536739.1957702889</v>
      </c>
      <c r="CI39" s="207">
        <v>0</v>
      </c>
      <c r="CJ39" s="207">
        <v>9016912.246026084</v>
      </c>
      <c r="CK39" s="207">
        <v>-287720</v>
      </c>
      <c r="CL39" s="207">
        <v>163744.34000000003</v>
      </c>
      <c r="CM39" s="207">
        <v>247729.78000000006</v>
      </c>
      <c r="CN39" s="207">
        <v>-83985.44000000003</v>
      </c>
      <c r="CO39" s="207">
        <v>26204118.09021979</v>
      </c>
      <c r="CP39" s="207">
        <v>27119769.983511552</v>
      </c>
      <c r="CQ39" s="207">
        <v>9966</v>
      </c>
    </row>
    <row r="40" spans="1:95" ht="11.25">
      <c r="A40" s="207">
        <v>140</v>
      </c>
      <c r="B40" s="207" t="s">
        <v>97</v>
      </c>
      <c r="C40" s="207">
        <v>21472</v>
      </c>
      <c r="D40" s="207">
        <v>76054578.46</v>
      </c>
      <c r="E40" s="207">
        <v>37769351.24077552</v>
      </c>
      <c r="F40" s="207">
        <v>4401880.056187067</v>
      </c>
      <c r="G40" s="207">
        <v>118225809.75696257</v>
      </c>
      <c r="H40" s="207">
        <v>3664.46</v>
      </c>
      <c r="I40" s="207">
        <v>78683285.12</v>
      </c>
      <c r="J40" s="207">
        <v>39542524.63696256</v>
      </c>
      <c r="K40" s="207">
        <v>1205548.913685062</v>
      </c>
      <c r="L40" s="207">
        <v>-2789549.153922378</v>
      </c>
      <c r="M40" s="207">
        <v>0</v>
      </c>
      <c r="N40" s="207">
        <v>37958524.396725245</v>
      </c>
      <c r="O40" s="207">
        <v>10694889.53956812</v>
      </c>
      <c r="P40" s="207">
        <v>48653413.93629336</v>
      </c>
      <c r="Q40" s="207">
        <v>1237</v>
      </c>
      <c r="R40" s="207">
        <v>201</v>
      </c>
      <c r="S40" s="207">
        <v>1406</v>
      </c>
      <c r="T40" s="207">
        <v>674</v>
      </c>
      <c r="U40" s="207">
        <v>691</v>
      </c>
      <c r="V40" s="207">
        <v>11801</v>
      </c>
      <c r="W40" s="207">
        <v>3169</v>
      </c>
      <c r="X40" s="207">
        <v>1579</v>
      </c>
      <c r="Y40" s="207">
        <v>714</v>
      </c>
      <c r="Z40" s="207">
        <v>8</v>
      </c>
      <c r="AA40" s="207">
        <v>2</v>
      </c>
      <c r="AB40" s="207">
        <v>20869</v>
      </c>
      <c r="AC40" s="207">
        <v>593</v>
      </c>
      <c r="AD40" s="207">
        <v>5462</v>
      </c>
      <c r="AE40" s="481">
        <v>1.4888525186493913</v>
      </c>
      <c r="AF40" s="207">
        <v>37769351.24077552</v>
      </c>
      <c r="AG40" s="207" t="e">
        <v>#DIV/0!</v>
      </c>
      <c r="AH40" s="207" t="e">
        <v>#DIV/0!</v>
      </c>
      <c r="AI40" s="207" t="e">
        <v>#DIV/0!</v>
      </c>
      <c r="AJ40" s="175">
        <v>1116</v>
      </c>
      <c r="AK40" s="175">
        <v>9944</v>
      </c>
      <c r="AL40" s="175">
        <v>1.1503429039844733</v>
      </c>
      <c r="AM40" s="175">
        <v>593</v>
      </c>
      <c r="AN40" s="175">
        <v>0.02761736214605067</v>
      </c>
      <c r="AO40" s="175">
        <v>0.024336283035587675</v>
      </c>
      <c r="AP40" s="175">
        <v>0</v>
      </c>
      <c r="AQ40" s="175">
        <v>8</v>
      </c>
      <c r="AR40" s="175">
        <v>2</v>
      </c>
      <c r="AS40" s="175">
        <v>0</v>
      </c>
      <c r="AT40" s="175">
        <v>0</v>
      </c>
      <c r="AU40" s="175">
        <v>763.03</v>
      </c>
      <c r="AV40" s="175">
        <v>28.140440087545706</v>
      </c>
      <c r="AW40" s="175">
        <v>0.6449978068731826</v>
      </c>
      <c r="AX40" s="175">
        <v>746</v>
      </c>
      <c r="AY40" s="175">
        <v>6056</v>
      </c>
      <c r="AZ40" s="175">
        <v>0.12318361955085866</v>
      </c>
      <c r="BA40" s="175">
        <v>0.061999783466624166</v>
      </c>
      <c r="BB40" s="175">
        <v>0.061933</v>
      </c>
      <c r="BC40" s="207">
        <v>8947</v>
      </c>
      <c r="BD40" s="175">
        <v>8441</v>
      </c>
      <c r="BE40" s="175">
        <v>1.0599455040871935</v>
      </c>
      <c r="BF40" s="175">
        <v>0.6510386214961004</v>
      </c>
      <c r="BG40" s="175">
        <v>0</v>
      </c>
      <c r="BH40" s="175">
        <v>2</v>
      </c>
      <c r="BI40" s="207">
        <v>0</v>
      </c>
      <c r="BJ40" s="207">
        <v>-5153.28</v>
      </c>
      <c r="BK40" s="207">
        <v>-88035.2</v>
      </c>
      <c r="BL40" s="207">
        <v>-6012.160000000001</v>
      </c>
      <c r="BM40" s="207">
        <v>0</v>
      </c>
      <c r="BN40" s="207">
        <v>0</v>
      </c>
      <c r="BO40" s="207">
        <v>2846</v>
      </c>
      <c r="BP40" s="207">
        <v>-1385847.846407536</v>
      </c>
      <c r="BQ40" s="207">
        <v>-913848.3200000001</v>
      </c>
      <c r="BR40" s="207">
        <v>-103509.28852503002</v>
      </c>
      <c r="BS40" s="207">
        <v>1719855</v>
      </c>
      <c r="BT40" s="207">
        <v>554062</v>
      </c>
      <c r="BU40" s="207">
        <v>1309102.96830591</v>
      </c>
      <c r="BV40" s="207">
        <v>55085.89497350688</v>
      </c>
      <c r="BW40" s="207">
        <v>227371.5223683299</v>
      </c>
      <c r="BX40" s="207">
        <v>674080.996412253</v>
      </c>
      <c r="BY40" s="207">
        <v>1126700.6565302126</v>
      </c>
      <c r="BZ40" s="207">
        <v>1783562.8830082873</v>
      </c>
      <c r="CA40" s="207">
        <v>510782.16273364605</v>
      </c>
      <c r="CB40" s="207">
        <v>934420.5716707461</v>
      </c>
      <c r="CC40" s="207">
        <v>1932.48</v>
      </c>
      <c r="CD40" s="207">
        <v>-26953.712264420174</v>
      </c>
      <c r="CE40" s="207">
        <v>933955.3324851582</v>
      </c>
      <c r="CF40" s="207">
        <v>-2789549.153922378</v>
      </c>
      <c r="CG40" s="207">
        <v>1038382.5732746084</v>
      </c>
      <c r="CH40" s="207">
        <v>1280930.3222955011</v>
      </c>
      <c r="CI40" s="207">
        <v>0</v>
      </c>
      <c r="CJ40" s="207">
        <v>10694889.53956812</v>
      </c>
      <c r="CK40" s="207">
        <v>-1169772</v>
      </c>
      <c r="CL40" s="207">
        <v>376571.0800000001</v>
      </c>
      <c r="CM40" s="207">
        <v>372767.1940000001</v>
      </c>
      <c r="CN40" s="207">
        <v>3803.8859999999986</v>
      </c>
      <c r="CO40" s="207">
        <v>47483641.93629336</v>
      </c>
      <c r="CP40" s="207">
        <v>53559648.902672544</v>
      </c>
      <c r="CQ40" s="207">
        <v>21639</v>
      </c>
    </row>
    <row r="41" spans="1:95" ht="11.25">
      <c r="A41" s="207">
        <v>142</v>
      </c>
      <c r="B41" s="207" t="s">
        <v>98</v>
      </c>
      <c r="C41" s="207">
        <v>6765</v>
      </c>
      <c r="D41" s="207">
        <v>25309161.84</v>
      </c>
      <c r="E41" s="207">
        <v>8690460.391729668</v>
      </c>
      <c r="F41" s="207">
        <v>1532497.6233140726</v>
      </c>
      <c r="G41" s="207">
        <v>35532119.85504375</v>
      </c>
      <c r="H41" s="207">
        <v>3664.46</v>
      </c>
      <c r="I41" s="207">
        <v>24790071.9</v>
      </c>
      <c r="J41" s="207">
        <v>10742047.955043748</v>
      </c>
      <c r="K41" s="207">
        <v>192618.4281300115</v>
      </c>
      <c r="L41" s="207">
        <v>-575238.5902476637</v>
      </c>
      <c r="M41" s="207">
        <v>0</v>
      </c>
      <c r="N41" s="207">
        <v>10359427.792926095</v>
      </c>
      <c r="O41" s="207">
        <v>4260195.873523822</v>
      </c>
      <c r="P41" s="207">
        <v>14619623.666449917</v>
      </c>
      <c r="Q41" s="207">
        <v>368</v>
      </c>
      <c r="R41" s="207">
        <v>65</v>
      </c>
      <c r="S41" s="207">
        <v>400</v>
      </c>
      <c r="T41" s="207">
        <v>218</v>
      </c>
      <c r="U41" s="207">
        <v>195</v>
      </c>
      <c r="V41" s="207">
        <v>3501</v>
      </c>
      <c r="W41" s="207">
        <v>1115</v>
      </c>
      <c r="X41" s="207">
        <v>618</v>
      </c>
      <c r="Y41" s="207">
        <v>285</v>
      </c>
      <c r="Z41" s="207">
        <v>16</v>
      </c>
      <c r="AA41" s="207">
        <v>1</v>
      </c>
      <c r="AB41" s="207">
        <v>6619</v>
      </c>
      <c r="AC41" s="207">
        <v>129</v>
      </c>
      <c r="AD41" s="207">
        <v>2018</v>
      </c>
      <c r="AE41" s="481">
        <v>1.0873256595517444</v>
      </c>
      <c r="AF41" s="207">
        <v>8690460.391729668</v>
      </c>
      <c r="AG41" s="207" t="e">
        <v>#DIV/0!</v>
      </c>
      <c r="AH41" s="207" t="e">
        <v>#DIV/0!</v>
      </c>
      <c r="AI41" s="207" t="e">
        <v>#DIV/0!</v>
      </c>
      <c r="AJ41" s="175">
        <v>306</v>
      </c>
      <c r="AK41" s="175">
        <v>3027</v>
      </c>
      <c r="AL41" s="175">
        <v>1.036175321210009</v>
      </c>
      <c r="AM41" s="175">
        <v>129</v>
      </c>
      <c r="AN41" s="175">
        <v>0.019068736141906874</v>
      </c>
      <c r="AO41" s="175">
        <v>0.01578765703144388</v>
      </c>
      <c r="AP41" s="175">
        <v>0</v>
      </c>
      <c r="AQ41" s="175">
        <v>16</v>
      </c>
      <c r="AR41" s="175">
        <v>1</v>
      </c>
      <c r="AS41" s="175">
        <v>0</v>
      </c>
      <c r="AT41" s="175">
        <v>0</v>
      </c>
      <c r="AU41" s="175">
        <v>589.84</v>
      </c>
      <c r="AV41" s="175">
        <v>11.46921198969212</v>
      </c>
      <c r="AW41" s="175">
        <v>1.5825430864148153</v>
      </c>
      <c r="AX41" s="175">
        <v>285</v>
      </c>
      <c r="AY41" s="175">
        <v>1881</v>
      </c>
      <c r="AZ41" s="175">
        <v>0.15151515151515152</v>
      </c>
      <c r="BA41" s="175">
        <v>0.09033131543091702</v>
      </c>
      <c r="BB41" s="175">
        <v>0</v>
      </c>
      <c r="BC41" s="207">
        <v>2210</v>
      </c>
      <c r="BD41" s="175">
        <v>2623</v>
      </c>
      <c r="BE41" s="175">
        <v>0.8425467022493328</v>
      </c>
      <c r="BF41" s="175">
        <v>0.4336398196582397</v>
      </c>
      <c r="BG41" s="175">
        <v>0</v>
      </c>
      <c r="BH41" s="175">
        <v>1</v>
      </c>
      <c r="BI41" s="207">
        <v>0</v>
      </c>
      <c r="BJ41" s="207">
        <v>-1623.6</v>
      </c>
      <c r="BK41" s="207">
        <v>-27736.499999999996</v>
      </c>
      <c r="BL41" s="207">
        <v>-1894.2000000000003</v>
      </c>
      <c r="BM41" s="207">
        <v>0</v>
      </c>
      <c r="BN41" s="207">
        <v>0</v>
      </c>
      <c r="BO41" s="207">
        <v>36498</v>
      </c>
      <c r="BP41" s="207">
        <v>-233483.62298707175</v>
      </c>
      <c r="BQ41" s="207">
        <v>-287918.4</v>
      </c>
      <c r="BR41" s="207">
        <v>7043.986740678549</v>
      </c>
      <c r="BS41" s="207">
        <v>561007</v>
      </c>
      <c r="BT41" s="207">
        <v>186515</v>
      </c>
      <c r="BU41" s="207">
        <v>430490.72209921485</v>
      </c>
      <c r="BV41" s="207">
        <v>23482.037625590612</v>
      </c>
      <c r="BW41" s="207">
        <v>26031.39221942881</v>
      </c>
      <c r="BX41" s="207">
        <v>198577.07449350462</v>
      </c>
      <c r="BY41" s="207">
        <v>350563.5538984399</v>
      </c>
      <c r="BZ41" s="207">
        <v>587899.073939636</v>
      </c>
      <c r="CA41" s="207">
        <v>170386.28145441186</v>
      </c>
      <c r="CB41" s="207">
        <v>310652.3329527533</v>
      </c>
      <c r="CC41" s="207">
        <v>608.85</v>
      </c>
      <c r="CD41" s="207">
        <v>31822.198579660995</v>
      </c>
      <c r="CE41" s="207">
        <v>394750.5827394081</v>
      </c>
      <c r="CF41" s="207">
        <v>-575238.5902476637</v>
      </c>
      <c r="CG41" s="207">
        <v>312080.19741906866</v>
      </c>
      <c r="CH41" s="207">
        <v>405076.0828285302</v>
      </c>
      <c r="CI41" s="207">
        <v>0</v>
      </c>
      <c r="CJ41" s="207">
        <v>4260195.873523822</v>
      </c>
      <c r="CK41" s="207">
        <v>-792034</v>
      </c>
      <c r="CL41" s="207">
        <v>424153.74000000005</v>
      </c>
      <c r="CM41" s="207">
        <v>153477.938</v>
      </c>
      <c r="CN41" s="207">
        <v>270675.802</v>
      </c>
      <c r="CO41" s="207">
        <v>13827589.666449917</v>
      </c>
      <c r="CP41" s="207">
        <v>15051233.919227917</v>
      </c>
      <c r="CQ41" s="207">
        <v>6820</v>
      </c>
    </row>
    <row r="42" spans="1:95" ht="11.25">
      <c r="A42" s="207">
        <v>143</v>
      </c>
      <c r="B42" s="207" t="s">
        <v>99</v>
      </c>
      <c r="C42" s="207">
        <v>7003</v>
      </c>
      <c r="D42" s="207">
        <v>25554234.47</v>
      </c>
      <c r="E42" s="207">
        <v>9250135.445902703</v>
      </c>
      <c r="F42" s="207">
        <v>1545315.7849349745</v>
      </c>
      <c r="G42" s="207">
        <v>36349685.70083768</v>
      </c>
      <c r="H42" s="207">
        <v>3664.46</v>
      </c>
      <c r="I42" s="207">
        <v>25662213.38</v>
      </c>
      <c r="J42" s="207">
        <v>10687472.32083768</v>
      </c>
      <c r="K42" s="207">
        <v>232189.71273840012</v>
      </c>
      <c r="L42" s="207">
        <v>-654399.924001924</v>
      </c>
      <c r="M42" s="207">
        <v>0</v>
      </c>
      <c r="N42" s="207">
        <v>10265262.109574156</v>
      </c>
      <c r="O42" s="207">
        <v>5225732.191532611</v>
      </c>
      <c r="P42" s="207">
        <v>15490994.301106766</v>
      </c>
      <c r="Q42" s="207">
        <v>360</v>
      </c>
      <c r="R42" s="207">
        <v>72</v>
      </c>
      <c r="S42" s="207">
        <v>432</v>
      </c>
      <c r="T42" s="207">
        <v>211</v>
      </c>
      <c r="U42" s="207">
        <v>210</v>
      </c>
      <c r="V42" s="207">
        <v>3563</v>
      </c>
      <c r="W42" s="207">
        <v>1252</v>
      </c>
      <c r="X42" s="207">
        <v>640</v>
      </c>
      <c r="Y42" s="207">
        <v>263</v>
      </c>
      <c r="Z42" s="207">
        <v>14</v>
      </c>
      <c r="AA42" s="207">
        <v>0</v>
      </c>
      <c r="AB42" s="207">
        <v>6864</v>
      </c>
      <c r="AC42" s="207">
        <v>125</v>
      </c>
      <c r="AD42" s="207">
        <v>2155</v>
      </c>
      <c r="AE42" s="481">
        <v>1.1180175450767893</v>
      </c>
      <c r="AF42" s="207">
        <v>9250135.445902703</v>
      </c>
      <c r="AG42" s="207" t="e">
        <v>#DIV/0!</v>
      </c>
      <c r="AH42" s="207" t="e">
        <v>#DIV/0!</v>
      </c>
      <c r="AI42" s="207" t="e">
        <v>#DIV/0!</v>
      </c>
      <c r="AJ42" s="175">
        <v>259</v>
      </c>
      <c r="AK42" s="175">
        <v>3005</v>
      </c>
      <c r="AL42" s="175">
        <v>0.8834450193048607</v>
      </c>
      <c r="AM42" s="175">
        <v>125</v>
      </c>
      <c r="AN42" s="175">
        <v>0.017849493074396688</v>
      </c>
      <c r="AO42" s="175">
        <v>0.014568413963933692</v>
      </c>
      <c r="AP42" s="175">
        <v>0</v>
      </c>
      <c r="AQ42" s="175">
        <v>14</v>
      </c>
      <c r="AR42" s="175">
        <v>0</v>
      </c>
      <c r="AS42" s="175">
        <v>0</v>
      </c>
      <c r="AT42" s="175">
        <v>0</v>
      </c>
      <c r="AU42" s="175">
        <v>750.36</v>
      </c>
      <c r="AV42" s="175">
        <v>9.332853563622795</v>
      </c>
      <c r="AW42" s="175">
        <v>1.944798771048923</v>
      </c>
      <c r="AX42" s="175">
        <v>276</v>
      </c>
      <c r="AY42" s="175">
        <v>1945</v>
      </c>
      <c r="AZ42" s="175">
        <v>0.14190231362467867</v>
      </c>
      <c r="BA42" s="175">
        <v>0.08071847754044417</v>
      </c>
      <c r="BB42" s="175">
        <v>0</v>
      </c>
      <c r="BC42" s="207">
        <v>2313</v>
      </c>
      <c r="BD42" s="175">
        <v>2531</v>
      </c>
      <c r="BE42" s="175">
        <v>0.913868036349269</v>
      </c>
      <c r="BF42" s="175">
        <v>0.504961153758176</v>
      </c>
      <c r="BG42" s="175">
        <v>0</v>
      </c>
      <c r="BH42" s="175">
        <v>0</v>
      </c>
      <c r="BI42" s="207">
        <v>0</v>
      </c>
      <c r="BJ42" s="207">
        <v>-1680.72</v>
      </c>
      <c r="BK42" s="207">
        <v>-28712.3</v>
      </c>
      <c r="BL42" s="207">
        <v>-1960.8400000000001</v>
      </c>
      <c r="BM42" s="207">
        <v>0</v>
      </c>
      <c r="BN42" s="207">
        <v>0</v>
      </c>
      <c r="BO42" s="207">
        <v>138175</v>
      </c>
      <c r="BP42" s="207">
        <v>-410805.50422654656</v>
      </c>
      <c r="BQ42" s="207">
        <v>-298047.68</v>
      </c>
      <c r="BR42" s="207">
        <v>79890.6480099801</v>
      </c>
      <c r="BS42" s="207">
        <v>680777</v>
      </c>
      <c r="BT42" s="207">
        <v>207953</v>
      </c>
      <c r="BU42" s="207">
        <v>496189.18011094985</v>
      </c>
      <c r="BV42" s="207">
        <v>24908.36419060258</v>
      </c>
      <c r="BW42" s="207">
        <v>82317.76892538632</v>
      </c>
      <c r="BX42" s="207">
        <v>232829.75872488532</v>
      </c>
      <c r="BY42" s="207">
        <v>404587.17992137617</v>
      </c>
      <c r="BZ42" s="207">
        <v>614150.253396735</v>
      </c>
      <c r="CA42" s="207">
        <v>175764.46567039963</v>
      </c>
      <c r="CB42" s="207">
        <v>323874.86932508793</v>
      </c>
      <c r="CC42" s="207">
        <v>630.27</v>
      </c>
      <c r="CD42" s="207">
        <v>-26067.61258350042</v>
      </c>
      <c r="CE42" s="207">
        <v>518822.19022462255</v>
      </c>
      <c r="CF42" s="207">
        <v>-654399.924001924</v>
      </c>
      <c r="CG42" s="207">
        <v>319260.9147981428</v>
      </c>
      <c r="CH42" s="207">
        <v>434298.05246537615</v>
      </c>
      <c r="CI42" s="207">
        <v>0</v>
      </c>
      <c r="CJ42" s="207">
        <v>5225732.191532611</v>
      </c>
      <c r="CK42" s="207">
        <v>-59221</v>
      </c>
      <c r="CL42" s="207">
        <v>354756.68</v>
      </c>
      <c r="CM42" s="207">
        <v>85894.20000000001</v>
      </c>
      <c r="CN42" s="207">
        <v>268862.48</v>
      </c>
      <c r="CO42" s="207">
        <v>15431773.301106766</v>
      </c>
      <c r="CP42" s="207">
        <v>17412680.358482238</v>
      </c>
      <c r="CQ42" s="207">
        <v>7119</v>
      </c>
    </row>
    <row r="43" spans="1:95" ht="11.25">
      <c r="A43" s="207">
        <v>145</v>
      </c>
      <c r="B43" s="207" t="s">
        <v>100</v>
      </c>
      <c r="C43" s="207">
        <v>12187</v>
      </c>
      <c r="D43" s="207">
        <v>46638609.09</v>
      </c>
      <c r="E43" s="207">
        <v>15799882.996899486</v>
      </c>
      <c r="F43" s="207">
        <v>1420930.6573285079</v>
      </c>
      <c r="G43" s="207">
        <v>63859422.744228</v>
      </c>
      <c r="H43" s="207">
        <v>3664.46</v>
      </c>
      <c r="I43" s="207">
        <v>44658774.02</v>
      </c>
      <c r="J43" s="207">
        <v>19200648.724227995</v>
      </c>
      <c r="K43" s="207">
        <v>184566.52893536497</v>
      </c>
      <c r="L43" s="207">
        <v>-1294249.821679422</v>
      </c>
      <c r="M43" s="207">
        <v>0</v>
      </c>
      <c r="N43" s="207">
        <v>18090965.43148394</v>
      </c>
      <c r="O43" s="207">
        <v>8151691.960789407</v>
      </c>
      <c r="P43" s="207">
        <v>26242657.392273344</v>
      </c>
      <c r="Q43" s="207">
        <v>878</v>
      </c>
      <c r="R43" s="207">
        <v>195</v>
      </c>
      <c r="S43" s="207">
        <v>1045</v>
      </c>
      <c r="T43" s="207">
        <v>461</v>
      </c>
      <c r="U43" s="207">
        <v>457</v>
      </c>
      <c r="V43" s="207">
        <v>6547</v>
      </c>
      <c r="W43" s="207">
        <v>1488</v>
      </c>
      <c r="X43" s="207">
        <v>718</v>
      </c>
      <c r="Y43" s="207">
        <v>398</v>
      </c>
      <c r="Z43" s="207">
        <v>26</v>
      </c>
      <c r="AA43" s="207">
        <v>0</v>
      </c>
      <c r="AB43" s="207">
        <v>12018</v>
      </c>
      <c r="AC43" s="207">
        <v>143</v>
      </c>
      <c r="AD43" s="207">
        <v>2604</v>
      </c>
      <c r="AE43" s="481">
        <v>1.097341270477689</v>
      </c>
      <c r="AF43" s="207">
        <v>15799882.996899486</v>
      </c>
      <c r="AG43" s="207" t="e">
        <v>#DIV/0!</v>
      </c>
      <c r="AH43" s="207" t="e">
        <v>#DIV/0!</v>
      </c>
      <c r="AI43" s="207" t="e">
        <v>#DIV/0!</v>
      </c>
      <c r="AJ43" s="175">
        <v>324</v>
      </c>
      <c r="AK43" s="175">
        <v>5639</v>
      </c>
      <c r="AL43" s="175">
        <v>0.5889347146599684</v>
      </c>
      <c r="AM43" s="175">
        <v>143</v>
      </c>
      <c r="AN43" s="175">
        <v>0.011733814720603922</v>
      </c>
      <c r="AO43" s="175">
        <v>0.008452735610140927</v>
      </c>
      <c r="AP43" s="175">
        <v>0</v>
      </c>
      <c r="AQ43" s="175">
        <v>26</v>
      </c>
      <c r="AR43" s="175">
        <v>0</v>
      </c>
      <c r="AS43" s="175">
        <v>0</v>
      </c>
      <c r="AT43" s="175">
        <v>0</v>
      </c>
      <c r="AU43" s="175">
        <v>576.79</v>
      </c>
      <c r="AV43" s="175">
        <v>21.129007090968983</v>
      </c>
      <c r="AW43" s="175">
        <v>0.8590333688075251</v>
      </c>
      <c r="AX43" s="175">
        <v>337</v>
      </c>
      <c r="AY43" s="175">
        <v>3781</v>
      </c>
      <c r="AZ43" s="175">
        <v>0.08912985982544301</v>
      </c>
      <c r="BA43" s="175">
        <v>0.02794602374120852</v>
      </c>
      <c r="BB43" s="175">
        <v>0</v>
      </c>
      <c r="BC43" s="207">
        <v>3240</v>
      </c>
      <c r="BD43" s="175">
        <v>5066</v>
      </c>
      <c r="BE43" s="175">
        <v>0.6395578365574418</v>
      </c>
      <c r="BF43" s="175">
        <v>0.23065095396634872</v>
      </c>
      <c r="BG43" s="175">
        <v>0</v>
      </c>
      <c r="BH43" s="175">
        <v>0</v>
      </c>
      <c r="BI43" s="207">
        <v>0</v>
      </c>
      <c r="BJ43" s="207">
        <v>-2924.88</v>
      </c>
      <c r="BK43" s="207">
        <v>-49966.7</v>
      </c>
      <c r="BL43" s="207">
        <v>-3412.36</v>
      </c>
      <c r="BM43" s="207">
        <v>0</v>
      </c>
      <c r="BN43" s="207">
        <v>0</v>
      </c>
      <c r="BO43" s="207">
        <v>-123623</v>
      </c>
      <c r="BP43" s="207">
        <v>-357479.3073016535</v>
      </c>
      <c r="BQ43" s="207">
        <v>-518678.72000000003</v>
      </c>
      <c r="BR43" s="207">
        <v>-102255.52143593878</v>
      </c>
      <c r="BS43" s="207">
        <v>954161</v>
      </c>
      <c r="BT43" s="207">
        <v>316612</v>
      </c>
      <c r="BU43" s="207">
        <v>781526.9520805622</v>
      </c>
      <c r="BV43" s="207">
        <v>32131.733519318583</v>
      </c>
      <c r="BW43" s="207">
        <v>106781.91588868524</v>
      </c>
      <c r="BX43" s="207">
        <v>326338.1356481641</v>
      </c>
      <c r="BY43" s="207">
        <v>655891.4552160897</v>
      </c>
      <c r="BZ43" s="207">
        <v>1043521.9136273402</v>
      </c>
      <c r="CA43" s="207">
        <v>283215.4080823374</v>
      </c>
      <c r="CB43" s="207">
        <v>511046.3425889969</v>
      </c>
      <c r="CC43" s="207">
        <v>1096.83</v>
      </c>
      <c r="CD43" s="207">
        <v>41864.57177702403</v>
      </c>
      <c r="CE43" s="207">
        <v>390028.17562223156</v>
      </c>
      <c r="CF43" s="207">
        <v>-1294249.821679422</v>
      </c>
      <c r="CG43" s="207">
        <v>560880.1652811463</v>
      </c>
      <c r="CH43" s="207">
        <v>732107.2655037435</v>
      </c>
      <c r="CI43" s="207">
        <v>0</v>
      </c>
      <c r="CJ43" s="207">
        <v>8151691.960789407</v>
      </c>
      <c r="CK43" s="207">
        <v>-392515</v>
      </c>
      <c r="CL43" s="207">
        <v>238731.34</v>
      </c>
      <c r="CM43" s="207">
        <v>343331.38800000004</v>
      </c>
      <c r="CN43" s="207">
        <v>-104600.04800000004</v>
      </c>
      <c r="CO43" s="207">
        <v>25850142.392273344</v>
      </c>
      <c r="CP43" s="207">
        <v>28755189.093838125</v>
      </c>
      <c r="CQ43" s="207">
        <v>12205</v>
      </c>
    </row>
    <row r="44" spans="1:95" ht="11.25">
      <c r="A44" s="207">
        <v>146</v>
      </c>
      <c r="B44" s="207" t="s">
        <v>101</v>
      </c>
      <c r="C44" s="207">
        <v>4973</v>
      </c>
      <c r="D44" s="207">
        <v>18469952.93</v>
      </c>
      <c r="E44" s="207">
        <v>10770273.561103582</v>
      </c>
      <c r="F44" s="207">
        <v>3316009.3526375024</v>
      </c>
      <c r="G44" s="207">
        <v>32556235.843741085</v>
      </c>
      <c r="H44" s="207">
        <v>3664.46</v>
      </c>
      <c r="I44" s="207">
        <v>18223359.580000002</v>
      </c>
      <c r="J44" s="207">
        <v>14332876.263741083</v>
      </c>
      <c r="K44" s="207">
        <v>2374507.60030325</v>
      </c>
      <c r="L44" s="207">
        <v>-185334.1943006348</v>
      </c>
      <c r="M44" s="207">
        <v>0</v>
      </c>
      <c r="N44" s="207">
        <v>16522049.669743698</v>
      </c>
      <c r="O44" s="207">
        <v>3156360.610261003</v>
      </c>
      <c r="P44" s="207">
        <v>19678410.280004703</v>
      </c>
      <c r="Q44" s="207">
        <v>158</v>
      </c>
      <c r="R44" s="207">
        <v>33</v>
      </c>
      <c r="S44" s="207">
        <v>210</v>
      </c>
      <c r="T44" s="207">
        <v>121</v>
      </c>
      <c r="U44" s="207">
        <v>101</v>
      </c>
      <c r="V44" s="207">
        <v>2447</v>
      </c>
      <c r="W44" s="207">
        <v>1046</v>
      </c>
      <c r="X44" s="207">
        <v>585</v>
      </c>
      <c r="Y44" s="207">
        <v>272</v>
      </c>
      <c r="Z44" s="207">
        <v>4</v>
      </c>
      <c r="AA44" s="207">
        <v>0</v>
      </c>
      <c r="AB44" s="207">
        <v>4811</v>
      </c>
      <c r="AC44" s="207">
        <v>158</v>
      </c>
      <c r="AD44" s="207">
        <v>1903</v>
      </c>
      <c r="AE44" s="481">
        <v>1.8331285800751085</v>
      </c>
      <c r="AF44" s="207">
        <v>10770273.561103582</v>
      </c>
      <c r="AG44" s="207" t="e">
        <v>#DIV/0!</v>
      </c>
      <c r="AH44" s="207" t="e">
        <v>#DIV/0!</v>
      </c>
      <c r="AI44" s="207" t="e">
        <v>#DIV/0!</v>
      </c>
      <c r="AJ44" s="175">
        <v>342</v>
      </c>
      <c r="AK44" s="175">
        <v>2067</v>
      </c>
      <c r="AL44" s="175">
        <v>1.6959375977902402</v>
      </c>
      <c r="AM44" s="175">
        <v>158</v>
      </c>
      <c r="AN44" s="175">
        <v>0.031771566458877944</v>
      </c>
      <c r="AO44" s="175">
        <v>0.028490487348414948</v>
      </c>
      <c r="AP44" s="175">
        <v>0</v>
      </c>
      <c r="AQ44" s="175">
        <v>4</v>
      </c>
      <c r="AR44" s="175">
        <v>0</v>
      </c>
      <c r="AS44" s="175">
        <v>0</v>
      </c>
      <c r="AT44" s="175">
        <v>0</v>
      </c>
      <c r="AU44" s="175">
        <v>2763.39</v>
      </c>
      <c r="AV44" s="175">
        <v>1.7996012144503672</v>
      </c>
      <c r="AW44" s="175">
        <v>10.085857908501517</v>
      </c>
      <c r="AX44" s="175">
        <v>217</v>
      </c>
      <c r="AY44" s="175">
        <v>1161</v>
      </c>
      <c r="AZ44" s="175">
        <v>0.18690783807062877</v>
      </c>
      <c r="BA44" s="175">
        <v>0.12572400198639427</v>
      </c>
      <c r="BB44" s="175">
        <v>1.346949</v>
      </c>
      <c r="BC44" s="207">
        <v>1649</v>
      </c>
      <c r="BD44" s="175">
        <v>1610</v>
      </c>
      <c r="BE44" s="175">
        <v>1.024223602484472</v>
      </c>
      <c r="BF44" s="175">
        <v>0.6153167198933789</v>
      </c>
      <c r="BG44" s="175">
        <v>0</v>
      </c>
      <c r="BH44" s="175">
        <v>0</v>
      </c>
      <c r="BI44" s="207">
        <v>0</v>
      </c>
      <c r="BJ44" s="207">
        <v>-1193.52</v>
      </c>
      <c r="BK44" s="207">
        <v>-20389.3</v>
      </c>
      <c r="BL44" s="207">
        <v>-1392.44</v>
      </c>
      <c r="BM44" s="207">
        <v>0</v>
      </c>
      <c r="BN44" s="207">
        <v>0</v>
      </c>
      <c r="BO44" s="207">
        <v>258987</v>
      </c>
      <c r="BP44" s="207">
        <v>-105395.69368587076</v>
      </c>
      <c r="BQ44" s="207">
        <v>-211650.88</v>
      </c>
      <c r="BR44" s="207">
        <v>-5688.993367061019</v>
      </c>
      <c r="BS44" s="207">
        <v>556296</v>
      </c>
      <c r="BT44" s="207">
        <v>167159</v>
      </c>
      <c r="BU44" s="207">
        <v>465718.1358928919</v>
      </c>
      <c r="BV44" s="207">
        <v>25047.13882048292</v>
      </c>
      <c r="BW44" s="207">
        <v>58430.7978963757</v>
      </c>
      <c r="BX44" s="207">
        <v>227888.47789942884</v>
      </c>
      <c r="BY44" s="207">
        <v>280256.68627585017</v>
      </c>
      <c r="BZ44" s="207">
        <v>457311.2021084907</v>
      </c>
      <c r="CA44" s="207">
        <v>135148.88974832188</v>
      </c>
      <c r="CB44" s="207">
        <v>240926.38210982832</v>
      </c>
      <c r="CC44" s="207">
        <v>447.57</v>
      </c>
      <c r="CD44" s="207">
        <v>-83139.71233609298</v>
      </c>
      <c r="CE44" s="207">
        <v>461472.00938523596</v>
      </c>
      <c r="CF44" s="207">
        <v>-185334.1943006348</v>
      </c>
      <c r="CG44" s="207">
        <v>285942.87508839</v>
      </c>
      <c r="CH44" s="207">
        <v>337198.6009525215</v>
      </c>
      <c r="CI44" s="207">
        <v>0</v>
      </c>
      <c r="CJ44" s="207">
        <v>3156360.610261003</v>
      </c>
      <c r="CK44" s="207">
        <v>-24079</v>
      </c>
      <c r="CL44" s="207">
        <v>110435.4</v>
      </c>
      <c r="CM44" s="207">
        <v>65511.37</v>
      </c>
      <c r="CN44" s="207">
        <v>44924.02999999999</v>
      </c>
      <c r="CO44" s="207">
        <v>19654331.280004703</v>
      </c>
      <c r="CP44" s="207">
        <v>21345652.61776966</v>
      </c>
      <c r="CQ44" s="207">
        <v>5128</v>
      </c>
    </row>
    <row r="45" spans="1:95" ht="11.25">
      <c r="A45" s="207">
        <v>153</v>
      </c>
      <c r="B45" s="207" t="s">
        <v>102</v>
      </c>
      <c r="C45" s="207">
        <v>26932</v>
      </c>
      <c r="D45" s="207">
        <v>94773950.34</v>
      </c>
      <c r="E45" s="207">
        <v>43654138.95537702</v>
      </c>
      <c r="F45" s="207">
        <v>7666727.922404815</v>
      </c>
      <c r="G45" s="207">
        <v>146094817.21778184</v>
      </c>
      <c r="H45" s="207">
        <v>3664.46</v>
      </c>
      <c r="I45" s="207">
        <v>98691236.72</v>
      </c>
      <c r="J45" s="207">
        <v>47403580.49778184</v>
      </c>
      <c r="K45" s="207">
        <v>1128092.0194950078</v>
      </c>
      <c r="L45" s="207">
        <v>-3784208.8149840306</v>
      </c>
      <c r="M45" s="207">
        <v>0</v>
      </c>
      <c r="N45" s="207">
        <v>44747463.70229282</v>
      </c>
      <c r="O45" s="207">
        <v>7517438.728106648</v>
      </c>
      <c r="P45" s="207">
        <v>52264902.43039947</v>
      </c>
      <c r="Q45" s="207">
        <v>1178</v>
      </c>
      <c r="R45" s="207">
        <v>220</v>
      </c>
      <c r="S45" s="207">
        <v>1462</v>
      </c>
      <c r="T45" s="207">
        <v>787</v>
      </c>
      <c r="U45" s="207">
        <v>786</v>
      </c>
      <c r="V45" s="207">
        <v>14538</v>
      </c>
      <c r="W45" s="207">
        <v>4290</v>
      </c>
      <c r="X45" s="207">
        <v>2675</v>
      </c>
      <c r="Y45" s="207">
        <v>996</v>
      </c>
      <c r="Z45" s="207">
        <v>40</v>
      </c>
      <c r="AA45" s="207">
        <v>1</v>
      </c>
      <c r="AB45" s="207">
        <v>25217</v>
      </c>
      <c r="AC45" s="207">
        <v>1674</v>
      </c>
      <c r="AD45" s="207">
        <v>7961</v>
      </c>
      <c r="AE45" s="481">
        <v>1.3719600775337892</v>
      </c>
      <c r="AF45" s="207">
        <v>43654138.95537702</v>
      </c>
      <c r="AG45" s="207" t="e">
        <v>#DIV/0!</v>
      </c>
      <c r="AH45" s="207" t="e">
        <v>#DIV/0!</v>
      </c>
      <c r="AI45" s="207" t="e">
        <v>#DIV/0!</v>
      </c>
      <c r="AJ45" s="175">
        <v>1665</v>
      </c>
      <c r="AK45" s="175">
        <v>12120</v>
      </c>
      <c r="AL45" s="175">
        <v>1.4081076465759053</v>
      </c>
      <c r="AM45" s="175">
        <v>1674</v>
      </c>
      <c r="AN45" s="175">
        <v>0.06215654240308926</v>
      </c>
      <c r="AO45" s="175">
        <v>0.05887546329262626</v>
      </c>
      <c r="AP45" s="175">
        <v>0</v>
      </c>
      <c r="AQ45" s="175">
        <v>40</v>
      </c>
      <c r="AR45" s="175">
        <v>1</v>
      </c>
      <c r="AS45" s="175">
        <v>0</v>
      </c>
      <c r="AT45" s="175">
        <v>0</v>
      </c>
      <c r="AU45" s="175">
        <v>155.01</v>
      </c>
      <c r="AV45" s="175">
        <v>173.74362944326174</v>
      </c>
      <c r="AW45" s="175">
        <v>0.10446726708239086</v>
      </c>
      <c r="AX45" s="175">
        <v>1137</v>
      </c>
      <c r="AY45" s="175">
        <v>7832</v>
      </c>
      <c r="AZ45" s="175">
        <v>0.14517364657814097</v>
      </c>
      <c r="BA45" s="175">
        <v>0.08398981049390647</v>
      </c>
      <c r="BB45" s="175">
        <v>0</v>
      </c>
      <c r="BC45" s="207">
        <v>10236</v>
      </c>
      <c r="BD45" s="175">
        <v>9778</v>
      </c>
      <c r="BE45" s="175">
        <v>1.0468398445489875</v>
      </c>
      <c r="BF45" s="175">
        <v>0.6379329619578944</v>
      </c>
      <c r="BG45" s="175">
        <v>0</v>
      </c>
      <c r="BH45" s="175">
        <v>1</v>
      </c>
      <c r="BI45" s="207">
        <v>0</v>
      </c>
      <c r="BJ45" s="207">
        <v>-6463.679999999999</v>
      </c>
      <c r="BK45" s="207">
        <v>-110421.2</v>
      </c>
      <c r="BL45" s="207">
        <v>-7540.960000000001</v>
      </c>
      <c r="BM45" s="207">
        <v>0</v>
      </c>
      <c r="BN45" s="207">
        <v>0</v>
      </c>
      <c r="BO45" s="207">
        <v>230653</v>
      </c>
      <c r="BP45" s="207">
        <v>-2314132.5924895415</v>
      </c>
      <c r="BQ45" s="207">
        <v>-1146225.9200000002</v>
      </c>
      <c r="BR45" s="207">
        <v>-294628.57903369516</v>
      </c>
      <c r="BS45" s="207">
        <v>1915973</v>
      </c>
      <c r="BT45" s="207">
        <v>590926</v>
      </c>
      <c r="BU45" s="207">
        <v>1235447.8154237953</v>
      </c>
      <c r="BV45" s="207">
        <v>58300.03887859348</v>
      </c>
      <c r="BW45" s="207">
        <v>191082.24648750428</v>
      </c>
      <c r="BX45" s="207">
        <v>765331.2197312817</v>
      </c>
      <c r="BY45" s="207">
        <v>1205978.6973517747</v>
      </c>
      <c r="BZ45" s="207">
        <v>2041330.1325758654</v>
      </c>
      <c r="CA45" s="207">
        <v>579064.7244630834</v>
      </c>
      <c r="CB45" s="207">
        <v>1029037.6928032943</v>
      </c>
      <c r="CC45" s="207">
        <v>2423.88</v>
      </c>
      <c r="CD45" s="207">
        <v>213742.32464141358</v>
      </c>
      <c r="CE45" s="207">
        <v>1462010.6175055108</v>
      </c>
      <c r="CF45" s="207">
        <v>-3784208.8149840306</v>
      </c>
      <c r="CG45" s="207">
        <v>1283157.3118977924</v>
      </c>
      <c r="CH45" s="207">
        <v>1250794.912176276</v>
      </c>
      <c r="CI45" s="207">
        <v>0</v>
      </c>
      <c r="CJ45" s="207">
        <v>7517438.728106648</v>
      </c>
      <c r="CK45" s="207">
        <v>-1620748</v>
      </c>
      <c r="CL45" s="207">
        <v>570105.71</v>
      </c>
      <c r="CM45" s="207">
        <v>1368869.9608</v>
      </c>
      <c r="CN45" s="207">
        <v>-798764.2508</v>
      </c>
      <c r="CO45" s="207">
        <v>50644154.43039947</v>
      </c>
      <c r="CP45" s="207">
        <v>55181387.35926322</v>
      </c>
      <c r="CQ45" s="207">
        <v>27269</v>
      </c>
    </row>
    <row r="46" spans="1:95" ht="11.25">
      <c r="A46" s="207">
        <v>148</v>
      </c>
      <c r="B46" s="207" t="s">
        <v>103</v>
      </c>
      <c r="C46" s="207">
        <v>6930</v>
      </c>
      <c r="D46" s="207">
        <v>22002381.740000002</v>
      </c>
      <c r="E46" s="207">
        <v>8798427.453831917</v>
      </c>
      <c r="F46" s="207">
        <v>6910102.187515092</v>
      </c>
      <c r="G46" s="207">
        <v>37710911.381347016</v>
      </c>
      <c r="H46" s="207">
        <v>3664.46</v>
      </c>
      <c r="I46" s="207">
        <v>25394707.8</v>
      </c>
      <c r="J46" s="207">
        <v>12316203.581347015</v>
      </c>
      <c r="K46" s="207">
        <v>8589221.831308806</v>
      </c>
      <c r="L46" s="207">
        <v>158944.3898013424</v>
      </c>
      <c r="M46" s="207">
        <v>0</v>
      </c>
      <c r="N46" s="207">
        <v>21064369.802457165</v>
      </c>
      <c r="O46" s="207">
        <v>1802316.720266592</v>
      </c>
      <c r="P46" s="207">
        <v>22866686.522723757</v>
      </c>
      <c r="Q46" s="207">
        <v>305</v>
      </c>
      <c r="R46" s="207">
        <v>49</v>
      </c>
      <c r="S46" s="207">
        <v>392</v>
      </c>
      <c r="T46" s="207">
        <v>186</v>
      </c>
      <c r="U46" s="207">
        <v>172</v>
      </c>
      <c r="V46" s="207">
        <v>4074</v>
      </c>
      <c r="W46" s="207">
        <v>1050</v>
      </c>
      <c r="X46" s="207">
        <v>516</v>
      </c>
      <c r="Y46" s="207">
        <v>186</v>
      </c>
      <c r="Z46" s="207">
        <v>23</v>
      </c>
      <c r="AA46" s="207">
        <v>454</v>
      </c>
      <c r="AB46" s="207">
        <v>6254</v>
      </c>
      <c r="AC46" s="207">
        <v>199</v>
      </c>
      <c r="AD46" s="207">
        <v>1752</v>
      </c>
      <c r="AE46" s="481">
        <v>1.0746238530638594</v>
      </c>
      <c r="AF46" s="207">
        <v>8798427.453831917</v>
      </c>
      <c r="AG46" s="207" t="e">
        <v>#DIV/0!</v>
      </c>
      <c r="AH46" s="207" t="e">
        <v>#DIV/0!</v>
      </c>
      <c r="AI46" s="207" t="e">
        <v>#DIV/0!</v>
      </c>
      <c r="AJ46" s="175">
        <v>386</v>
      </c>
      <c r="AK46" s="175">
        <v>3343</v>
      </c>
      <c r="AL46" s="175">
        <v>1.1835188161770485</v>
      </c>
      <c r="AM46" s="175">
        <v>199</v>
      </c>
      <c r="AN46" s="175">
        <v>0.028715728715728715</v>
      </c>
      <c r="AO46" s="175">
        <v>0.02543464960526572</v>
      </c>
      <c r="AP46" s="175">
        <v>0</v>
      </c>
      <c r="AQ46" s="175">
        <v>23</v>
      </c>
      <c r="AR46" s="175">
        <v>454</v>
      </c>
      <c r="AS46" s="175">
        <v>0</v>
      </c>
      <c r="AT46" s="175">
        <v>0</v>
      </c>
      <c r="AU46" s="175">
        <v>15056.29</v>
      </c>
      <c r="AV46" s="175">
        <v>0.460272749794272</v>
      </c>
      <c r="AW46" s="175">
        <v>39.434274892497776</v>
      </c>
      <c r="AX46" s="175">
        <v>320</v>
      </c>
      <c r="AY46" s="175">
        <v>2066</v>
      </c>
      <c r="AZ46" s="175">
        <v>0.15488867376573087</v>
      </c>
      <c r="BA46" s="175">
        <v>0.09370483768149637</v>
      </c>
      <c r="BB46" s="175">
        <v>1.573383</v>
      </c>
      <c r="BC46" s="207">
        <v>2868</v>
      </c>
      <c r="BD46" s="175">
        <v>2890</v>
      </c>
      <c r="BE46" s="175">
        <v>0.9923875432525952</v>
      </c>
      <c r="BF46" s="175">
        <v>0.5834806606615021</v>
      </c>
      <c r="BG46" s="175">
        <v>1</v>
      </c>
      <c r="BH46" s="175">
        <v>454</v>
      </c>
      <c r="BI46" s="207">
        <v>0</v>
      </c>
      <c r="BJ46" s="207">
        <v>-1663.2</v>
      </c>
      <c r="BK46" s="207">
        <v>-28412.999999999996</v>
      </c>
      <c r="BL46" s="207">
        <v>-1940.4</v>
      </c>
      <c r="BM46" s="207">
        <v>0</v>
      </c>
      <c r="BN46" s="207">
        <v>0</v>
      </c>
      <c r="BO46" s="207">
        <v>479107</v>
      </c>
      <c r="BP46" s="207">
        <v>-150611.21393115257</v>
      </c>
      <c r="BQ46" s="207">
        <v>-294940.8</v>
      </c>
      <c r="BR46" s="207">
        <v>241319.49110893905</v>
      </c>
      <c r="BS46" s="207">
        <v>499986</v>
      </c>
      <c r="BT46" s="207">
        <v>180627</v>
      </c>
      <c r="BU46" s="207">
        <v>479629.9454780115</v>
      </c>
      <c r="BV46" s="207">
        <v>24832.544674204702</v>
      </c>
      <c r="BW46" s="207">
        <v>29639.119052726277</v>
      </c>
      <c r="BX46" s="207">
        <v>168703.85073378746</v>
      </c>
      <c r="BY46" s="207">
        <v>363400.90967335243</v>
      </c>
      <c r="BZ46" s="207">
        <v>488515.4997240312</v>
      </c>
      <c r="CA46" s="207">
        <v>195332.8887430073</v>
      </c>
      <c r="CB46" s="207">
        <v>303505.35275989975</v>
      </c>
      <c r="CC46" s="207">
        <v>623.6999999999999</v>
      </c>
      <c r="CD46" s="207">
        <v>4897.191809608004</v>
      </c>
      <c r="CE46" s="207">
        <v>1064024.703732495</v>
      </c>
      <c r="CF46" s="207">
        <v>158944.3898013424</v>
      </c>
      <c r="CG46" s="207">
        <v>331216.6208139481</v>
      </c>
      <c r="CH46" s="207">
        <v>444403.5495208617</v>
      </c>
      <c r="CI46" s="207">
        <v>0</v>
      </c>
      <c r="CJ46" s="207">
        <v>1802316.720266592</v>
      </c>
      <c r="CK46" s="207">
        <v>-310176</v>
      </c>
      <c r="CL46" s="207">
        <v>122842.34</v>
      </c>
      <c r="CM46" s="207">
        <v>92711.20000000001</v>
      </c>
      <c r="CN46" s="207">
        <v>30131.139999999985</v>
      </c>
      <c r="CO46" s="207">
        <v>22556510.522723757</v>
      </c>
      <c r="CP46" s="207">
        <v>23111664.981128313</v>
      </c>
      <c r="CQ46" s="207">
        <v>6869</v>
      </c>
    </row>
    <row r="47" spans="1:95" ht="11.25">
      <c r="A47" s="207">
        <v>149</v>
      </c>
      <c r="B47" s="207" t="s">
        <v>104</v>
      </c>
      <c r="C47" s="207">
        <v>5403</v>
      </c>
      <c r="D47" s="207">
        <v>19623740.05</v>
      </c>
      <c r="E47" s="207">
        <v>5413460.177801978</v>
      </c>
      <c r="F47" s="207">
        <v>2070952.1333274473</v>
      </c>
      <c r="G47" s="207">
        <v>27108152.361129425</v>
      </c>
      <c r="H47" s="207">
        <v>3664.46</v>
      </c>
      <c r="I47" s="207">
        <v>19799077.38</v>
      </c>
      <c r="J47" s="207">
        <v>7309074.9811294265</v>
      </c>
      <c r="K47" s="207">
        <v>47612.77693657221</v>
      </c>
      <c r="L47" s="207">
        <v>-636627.2764011766</v>
      </c>
      <c r="M47" s="207">
        <v>0</v>
      </c>
      <c r="N47" s="207">
        <v>6720060.4816648215</v>
      </c>
      <c r="O47" s="207">
        <v>-429256.07501881785</v>
      </c>
      <c r="P47" s="207">
        <v>6290804.406646004</v>
      </c>
      <c r="Q47" s="207">
        <v>267</v>
      </c>
      <c r="R47" s="207">
        <v>57</v>
      </c>
      <c r="S47" s="207">
        <v>402</v>
      </c>
      <c r="T47" s="207">
        <v>223</v>
      </c>
      <c r="U47" s="207">
        <v>187</v>
      </c>
      <c r="V47" s="207">
        <v>2940</v>
      </c>
      <c r="W47" s="207">
        <v>760</v>
      </c>
      <c r="X47" s="207">
        <v>398</v>
      </c>
      <c r="Y47" s="207">
        <v>169</v>
      </c>
      <c r="Z47" s="207">
        <v>2839</v>
      </c>
      <c r="AA47" s="207">
        <v>0</v>
      </c>
      <c r="AB47" s="207">
        <v>2341</v>
      </c>
      <c r="AC47" s="207">
        <v>223</v>
      </c>
      <c r="AD47" s="207">
        <v>1327</v>
      </c>
      <c r="AE47" s="481">
        <v>0.8480561973937777</v>
      </c>
      <c r="AF47" s="207">
        <v>5413460.177801978</v>
      </c>
      <c r="AG47" s="207" t="e">
        <v>#DIV/0!</v>
      </c>
      <c r="AH47" s="207" t="e">
        <v>#DIV/0!</v>
      </c>
      <c r="AI47" s="207" t="e">
        <v>#DIV/0!</v>
      </c>
      <c r="AJ47" s="175">
        <v>166</v>
      </c>
      <c r="AK47" s="175">
        <v>2624</v>
      </c>
      <c r="AL47" s="175">
        <v>0.6484380576382012</v>
      </c>
      <c r="AM47" s="175">
        <v>223</v>
      </c>
      <c r="AN47" s="175">
        <v>0.04127336664815843</v>
      </c>
      <c r="AO47" s="175">
        <v>0.03799228753769543</v>
      </c>
      <c r="AP47" s="175">
        <v>3</v>
      </c>
      <c r="AQ47" s="175">
        <v>2839</v>
      </c>
      <c r="AR47" s="175">
        <v>0</v>
      </c>
      <c r="AS47" s="175">
        <v>3</v>
      </c>
      <c r="AT47" s="175">
        <v>221</v>
      </c>
      <c r="AU47" s="175">
        <v>349.89</v>
      </c>
      <c r="AV47" s="175">
        <v>15.441996055903285</v>
      </c>
      <c r="AW47" s="175">
        <v>1.1753999984978918</v>
      </c>
      <c r="AX47" s="175">
        <v>248</v>
      </c>
      <c r="AY47" s="175">
        <v>1791</v>
      </c>
      <c r="AZ47" s="175">
        <v>0.13847012841987716</v>
      </c>
      <c r="BA47" s="175">
        <v>0.07728629233564266</v>
      </c>
      <c r="BB47" s="175">
        <v>0</v>
      </c>
      <c r="BC47" s="207">
        <v>1310</v>
      </c>
      <c r="BD47" s="175">
        <v>2412</v>
      </c>
      <c r="BE47" s="175">
        <v>0.543117744610282</v>
      </c>
      <c r="BF47" s="175">
        <v>0.13421086201918886</v>
      </c>
      <c r="BG47" s="175">
        <v>0</v>
      </c>
      <c r="BH47" s="175">
        <v>0</v>
      </c>
      <c r="BI47" s="207">
        <v>0</v>
      </c>
      <c r="BJ47" s="207">
        <v>-1296.72</v>
      </c>
      <c r="BK47" s="207">
        <v>-22152.3</v>
      </c>
      <c r="BL47" s="207">
        <v>-1512.8400000000001</v>
      </c>
      <c r="BM47" s="207">
        <v>0</v>
      </c>
      <c r="BN47" s="207">
        <v>0</v>
      </c>
      <c r="BO47" s="207">
        <v>2429</v>
      </c>
      <c r="BP47" s="207">
        <v>-105070.28394086959</v>
      </c>
      <c r="BQ47" s="207">
        <v>-229951.68000000002</v>
      </c>
      <c r="BR47" s="207">
        <v>-139329.01962335035</v>
      </c>
      <c r="BS47" s="207">
        <v>462664</v>
      </c>
      <c r="BT47" s="207">
        <v>145911</v>
      </c>
      <c r="BU47" s="207">
        <v>289533.9898365389</v>
      </c>
      <c r="BV47" s="207">
        <v>4845.642708322306</v>
      </c>
      <c r="BW47" s="207">
        <v>-30972.378801288753</v>
      </c>
      <c r="BX47" s="207">
        <v>67000.9340491973</v>
      </c>
      <c r="BY47" s="207">
        <v>256786.39362548</v>
      </c>
      <c r="BZ47" s="207">
        <v>420191.7238836958</v>
      </c>
      <c r="CA47" s="207">
        <v>127465.4856256947</v>
      </c>
      <c r="CB47" s="207">
        <v>209778.49629041774</v>
      </c>
      <c r="CC47" s="207">
        <v>486.27</v>
      </c>
      <c r="CD47" s="207">
        <v>-50359.717099781425</v>
      </c>
      <c r="CE47" s="207">
        <v>56667.61753969308</v>
      </c>
      <c r="CF47" s="207">
        <v>-636627.2764011766</v>
      </c>
      <c r="CG47" s="207">
        <v>238092.11426282485</v>
      </c>
      <c r="CH47" s="207">
        <v>304607.51954089844</v>
      </c>
      <c r="CI47" s="207">
        <v>0</v>
      </c>
      <c r="CJ47" s="207">
        <v>-429256.07501881785</v>
      </c>
      <c r="CK47" s="207">
        <v>-1103939</v>
      </c>
      <c r="CL47" s="207">
        <v>74987</v>
      </c>
      <c r="CM47" s="207">
        <v>2522821.7260000003</v>
      </c>
      <c r="CN47" s="207">
        <v>-2447834.7260000003</v>
      </c>
      <c r="CO47" s="207">
        <v>5186865.406646004</v>
      </c>
      <c r="CP47" s="207">
        <v>6630784.081475241</v>
      </c>
      <c r="CQ47" s="207">
        <v>5481</v>
      </c>
    </row>
    <row r="48" spans="1:95" ht="11.25">
      <c r="A48" s="207">
        <v>151</v>
      </c>
      <c r="B48" s="207" t="s">
        <v>105</v>
      </c>
      <c r="C48" s="207">
        <v>1976</v>
      </c>
      <c r="D48" s="207">
        <v>7572015.289999999</v>
      </c>
      <c r="E48" s="207">
        <v>3751542.1301587876</v>
      </c>
      <c r="F48" s="207">
        <v>838138.4432211483</v>
      </c>
      <c r="G48" s="207">
        <v>12161695.863379935</v>
      </c>
      <c r="H48" s="207">
        <v>3664.46</v>
      </c>
      <c r="I48" s="207">
        <v>7240972.96</v>
      </c>
      <c r="J48" s="207">
        <v>4920722.903379935</v>
      </c>
      <c r="K48" s="207">
        <v>264022.4170505378</v>
      </c>
      <c r="L48" s="207">
        <v>-142479.2672919744</v>
      </c>
      <c r="M48" s="207">
        <v>0</v>
      </c>
      <c r="N48" s="207">
        <v>5042266.053138498</v>
      </c>
      <c r="O48" s="207">
        <v>1983986.0759522188</v>
      </c>
      <c r="P48" s="207">
        <v>7026252.129090717</v>
      </c>
      <c r="Q48" s="207">
        <v>73</v>
      </c>
      <c r="R48" s="207">
        <v>14</v>
      </c>
      <c r="S48" s="207">
        <v>101</v>
      </c>
      <c r="T48" s="207">
        <v>63</v>
      </c>
      <c r="U48" s="207">
        <v>70</v>
      </c>
      <c r="V48" s="207">
        <v>1020</v>
      </c>
      <c r="W48" s="207">
        <v>342</v>
      </c>
      <c r="X48" s="207">
        <v>181</v>
      </c>
      <c r="Y48" s="207">
        <v>112</v>
      </c>
      <c r="Z48" s="207">
        <v>19</v>
      </c>
      <c r="AA48" s="207">
        <v>0</v>
      </c>
      <c r="AB48" s="207">
        <v>1888</v>
      </c>
      <c r="AC48" s="207">
        <v>69</v>
      </c>
      <c r="AD48" s="207">
        <v>635</v>
      </c>
      <c r="AE48" s="481">
        <v>1.606969156201725</v>
      </c>
      <c r="AF48" s="207">
        <v>3751542.1301587876</v>
      </c>
      <c r="AG48" s="207" t="e">
        <v>#DIV/0!</v>
      </c>
      <c r="AH48" s="207" t="e">
        <v>#DIV/0!</v>
      </c>
      <c r="AI48" s="207" t="e">
        <v>#DIV/0!</v>
      </c>
      <c r="AJ48" s="175">
        <v>49</v>
      </c>
      <c r="AK48" s="175">
        <v>875</v>
      </c>
      <c r="AL48" s="175">
        <v>0.5740004936240231</v>
      </c>
      <c r="AM48" s="175">
        <v>69</v>
      </c>
      <c r="AN48" s="175">
        <v>0.034919028340080975</v>
      </c>
      <c r="AO48" s="175">
        <v>0.031637949229617976</v>
      </c>
      <c r="AP48" s="175">
        <v>0</v>
      </c>
      <c r="AQ48" s="175">
        <v>19</v>
      </c>
      <c r="AR48" s="175">
        <v>0</v>
      </c>
      <c r="AS48" s="175">
        <v>0</v>
      </c>
      <c r="AT48" s="175">
        <v>0</v>
      </c>
      <c r="AU48" s="175">
        <v>642.38</v>
      </c>
      <c r="AV48" s="175">
        <v>3.0760608985335782</v>
      </c>
      <c r="AW48" s="175">
        <v>5.900573083441196</v>
      </c>
      <c r="AX48" s="175">
        <v>123</v>
      </c>
      <c r="AY48" s="175">
        <v>513</v>
      </c>
      <c r="AZ48" s="175">
        <v>0.23976608187134502</v>
      </c>
      <c r="BA48" s="175">
        <v>0.17858224578711052</v>
      </c>
      <c r="BB48" s="175">
        <v>0.468083</v>
      </c>
      <c r="BC48" s="207">
        <v>706</v>
      </c>
      <c r="BD48" s="175">
        <v>783</v>
      </c>
      <c r="BE48" s="175">
        <v>0.9016602809706258</v>
      </c>
      <c r="BF48" s="175">
        <v>0.4927533983795327</v>
      </c>
      <c r="BG48" s="175">
        <v>0</v>
      </c>
      <c r="BH48" s="175">
        <v>0</v>
      </c>
      <c r="BI48" s="207">
        <v>0</v>
      </c>
      <c r="BJ48" s="207">
        <v>-474.24</v>
      </c>
      <c r="BK48" s="207">
        <v>-8101.599999999999</v>
      </c>
      <c r="BL48" s="207">
        <v>-553.2800000000001</v>
      </c>
      <c r="BM48" s="207">
        <v>0</v>
      </c>
      <c r="BN48" s="207">
        <v>0</v>
      </c>
      <c r="BO48" s="207">
        <v>14391</v>
      </c>
      <c r="BP48" s="207">
        <v>-28276.039267459448</v>
      </c>
      <c r="BQ48" s="207">
        <v>-84098.56</v>
      </c>
      <c r="BR48" s="207">
        <v>-10711.074828449637</v>
      </c>
      <c r="BS48" s="207">
        <v>269740</v>
      </c>
      <c r="BT48" s="207">
        <v>77472</v>
      </c>
      <c r="BU48" s="207">
        <v>213295.79956305336</v>
      </c>
      <c r="BV48" s="207">
        <v>12038.590237768842</v>
      </c>
      <c r="BW48" s="207">
        <v>34652.234374850144</v>
      </c>
      <c r="BX48" s="207">
        <v>98865.7058690814</v>
      </c>
      <c r="BY48" s="207">
        <v>137259.29576889312</v>
      </c>
      <c r="BZ48" s="207">
        <v>215846.0136425003</v>
      </c>
      <c r="CA48" s="207">
        <v>65816.83780627932</v>
      </c>
      <c r="CB48" s="207">
        <v>111410.15812594573</v>
      </c>
      <c r="CC48" s="207">
        <v>177.84</v>
      </c>
      <c r="CD48" s="207">
        <v>-11706.83174474837</v>
      </c>
      <c r="CE48" s="207">
        <v>100923.89197548504</v>
      </c>
      <c r="CF48" s="207">
        <v>-142479.2672919744</v>
      </c>
      <c r="CG48" s="207">
        <v>106816.71854868304</v>
      </c>
      <c r="CH48" s="207">
        <v>160306.69258766618</v>
      </c>
      <c r="CI48" s="207">
        <v>0</v>
      </c>
      <c r="CJ48" s="207">
        <v>1983986.0759522188</v>
      </c>
      <c r="CK48" s="207">
        <v>-457861</v>
      </c>
      <c r="CL48" s="207">
        <v>35448.4</v>
      </c>
      <c r="CM48" s="207">
        <v>49791.368</v>
      </c>
      <c r="CN48" s="207">
        <v>-14342.968</v>
      </c>
      <c r="CO48" s="207">
        <v>6568391.129090717</v>
      </c>
      <c r="CP48" s="207">
        <v>7729696.821816139</v>
      </c>
      <c r="CQ48" s="207">
        <v>2032</v>
      </c>
    </row>
    <row r="49" spans="1:95" ht="11.25">
      <c r="A49" s="207">
        <v>152</v>
      </c>
      <c r="B49" s="207" t="s">
        <v>106</v>
      </c>
      <c r="C49" s="207">
        <v>4601</v>
      </c>
      <c r="D49" s="207">
        <v>17962645.88</v>
      </c>
      <c r="E49" s="207">
        <v>6699062.335683291</v>
      </c>
      <c r="F49" s="207">
        <v>688553.6891302235</v>
      </c>
      <c r="G49" s="207">
        <v>25350261.904813513</v>
      </c>
      <c r="H49" s="207">
        <v>3664.46</v>
      </c>
      <c r="I49" s="207">
        <v>16860180.46</v>
      </c>
      <c r="J49" s="207">
        <v>8490081.444813512</v>
      </c>
      <c r="K49" s="207">
        <v>91599.06597620109</v>
      </c>
      <c r="L49" s="207">
        <v>-444647.29362570326</v>
      </c>
      <c r="M49" s="207">
        <v>0</v>
      </c>
      <c r="N49" s="207">
        <v>8137033.21716401</v>
      </c>
      <c r="O49" s="207">
        <v>3636924.472922742</v>
      </c>
      <c r="P49" s="207">
        <v>11773957.690086752</v>
      </c>
      <c r="Q49" s="207">
        <v>250</v>
      </c>
      <c r="R49" s="207">
        <v>57</v>
      </c>
      <c r="S49" s="207">
        <v>351</v>
      </c>
      <c r="T49" s="207">
        <v>176</v>
      </c>
      <c r="U49" s="207">
        <v>164</v>
      </c>
      <c r="V49" s="207">
        <v>2370</v>
      </c>
      <c r="W49" s="207">
        <v>645</v>
      </c>
      <c r="X49" s="207">
        <v>399</v>
      </c>
      <c r="Y49" s="207">
        <v>189</v>
      </c>
      <c r="Z49" s="207">
        <v>35</v>
      </c>
      <c r="AA49" s="207">
        <v>0</v>
      </c>
      <c r="AB49" s="207">
        <v>4522</v>
      </c>
      <c r="AC49" s="207">
        <v>44</v>
      </c>
      <c r="AD49" s="207">
        <v>1233</v>
      </c>
      <c r="AE49" s="481">
        <v>1.2323851005316362</v>
      </c>
      <c r="AF49" s="207">
        <v>6699062.335683291</v>
      </c>
      <c r="AG49" s="207" t="e">
        <v>#DIV/0!</v>
      </c>
      <c r="AH49" s="207" t="e">
        <v>#DIV/0!</v>
      </c>
      <c r="AI49" s="207" t="e">
        <v>#DIV/0!</v>
      </c>
      <c r="AJ49" s="175">
        <v>139</v>
      </c>
      <c r="AK49" s="175">
        <v>2079</v>
      </c>
      <c r="AL49" s="175">
        <v>0.6853060246490346</v>
      </c>
      <c r="AM49" s="175">
        <v>44</v>
      </c>
      <c r="AN49" s="175">
        <v>0.009563138448163443</v>
      </c>
      <c r="AO49" s="175">
        <v>0.006282059337700446</v>
      </c>
      <c r="AP49" s="175">
        <v>0</v>
      </c>
      <c r="AQ49" s="175">
        <v>35</v>
      </c>
      <c r="AR49" s="175">
        <v>0</v>
      </c>
      <c r="AS49" s="175">
        <v>0</v>
      </c>
      <c r="AT49" s="175">
        <v>0</v>
      </c>
      <c r="AU49" s="175">
        <v>354.13</v>
      </c>
      <c r="AV49" s="175">
        <v>12.992403919464603</v>
      </c>
      <c r="AW49" s="175">
        <v>1.3970103033604828</v>
      </c>
      <c r="AX49" s="175">
        <v>140</v>
      </c>
      <c r="AY49" s="175">
        <v>1316</v>
      </c>
      <c r="AZ49" s="175">
        <v>0.10638297872340426</v>
      </c>
      <c r="BA49" s="175">
        <v>0.04519914263916976</v>
      </c>
      <c r="BB49" s="175">
        <v>0</v>
      </c>
      <c r="BC49" s="207">
        <v>1311</v>
      </c>
      <c r="BD49" s="175">
        <v>1841</v>
      </c>
      <c r="BE49" s="175">
        <v>0.7121129820749592</v>
      </c>
      <c r="BF49" s="175">
        <v>0.3032060994838661</v>
      </c>
      <c r="BG49" s="175">
        <v>0</v>
      </c>
      <c r="BH49" s="175">
        <v>0</v>
      </c>
      <c r="BI49" s="207">
        <v>0</v>
      </c>
      <c r="BJ49" s="207">
        <v>-1104.24</v>
      </c>
      <c r="BK49" s="207">
        <v>-18864.1</v>
      </c>
      <c r="BL49" s="207">
        <v>-1288.2800000000002</v>
      </c>
      <c r="BM49" s="207">
        <v>0</v>
      </c>
      <c r="BN49" s="207">
        <v>0</v>
      </c>
      <c r="BO49" s="207">
        <v>-42666</v>
      </c>
      <c r="BP49" s="207">
        <v>-128450.94572471708</v>
      </c>
      <c r="BQ49" s="207">
        <v>-195818.56</v>
      </c>
      <c r="BR49" s="207">
        <v>-4805.183234481141</v>
      </c>
      <c r="BS49" s="207">
        <v>453574</v>
      </c>
      <c r="BT49" s="207">
        <v>149113</v>
      </c>
      <c r="BU49" s="207">
        <v>365093.086581899</v>
      </c>
      <c r="BV49" s="207">
        <v>18504.183119397294</v>
      </c>
      <c r="BW49" s="207">
        <v>39985.40308242453</v>
      </c>
      <c r="BX49" s="207">
        <v>140431.9440813769</v>
      </c>
      <c r="BY49" s="207">
        <v>268667.9662523781</v>
      </c>
      <c r="BZ49" s="207">
        <v>453481.51872165385</v>
      </c>
      <c r="CA49" s="207">
        <v>123945.84333360156</v>
      </c>
      <c r="CB49" s="207">
        <v>220230.03564561004</v>
      </c>
      <c r="CC49" s="207">
        <v>414.09</v>
      </c>
      <c r="CD49" s="207">
        <v>4564.141548284166</v>
      </c>
      <c r="CE49" s="207">
        <v>184714.52209901385</v>
      </c>
      <c r="CF49" s="207">
        <v>-444647.29362570326</v>
      </c>
      <c r="CG49" s="207">
        <v>222652.48378521085</v>
      </c>
      <c r="CH49" s="207">
        <v>311106.9166326637</v>
      </c>
      <c r="CI49" s="207">
        <v>0</v>
      </c>
      <c r="CJ49" s="207">
        <v>3636924.472922742</v>
      </c>
      <c r="CK49" s="207">
        <v>-219353</v>
      </c>
      <c r="CL49" s="207">
        <v>174515.2</v>
      </c>
      <c r="CM49" s="207">
        <v>107776.77</v>
      </c>
      <c r="CN49" s="207">
        <v>66738.43000000001</v>
      </c>
      <c r="CO49" s="207">
        <v>11554604.690086752</v>
      </c>
      <c r="CP49" s="207">
        <v>12977564.492243104</v>
      </c>
      <c r="CQ49" s="207">
        <v>4673</v>
      </c>
    </row>
    <row r="50" spans="1:95" ht="11.25">
      <c r="A50" s="207">
        <v>165</v>
      </c>
      <c r="B50" s="207" t="s">
        <v>107</v>
      </c>
      <c r="C50" s="207">
        <v>16447</v>
      </c>
      <c r="D50" s="207">
        <v>58558454.25999999</v>
      </c>
      <c r="E50" s="207">
        <v>18102561.073346633</v>
      </c>
      <c r="F50" s="207">
        <v>2921275.4426683825</v>
      </c>
      <c r="G50" s="207">
        <v>79582290.776015</v>
      </c>
      <c r="H50" s="207">
        <v>3664.46</v>
      </c>
      <c r="I50" s="207">
        <v>60269373.62</v>
      </c>
      <c r="J50" s="207">
        <v>19312917.156015</v>
      </c>
      <c r="K50" s="207">
        <v>353008.90671290486</v>
      </c>
      <c r="L50" s="207">
        <v>-1712286.641054206</v>
      </c>
      <c r="M50" s="207">
        <v>0</v>
      </c>
      <c r="N50" s="207">
        <v>17953639.4216737</v>
      </c>
      <c r="O50" s="207">
        <v>5183080.369669418</v>
      </c>
      <c r="P50" s="207">
        <v>23136719.79134312</v>
      </c>
      <c r="Q50" s="207">
        <v>938</v>
      </c>
      <c r="R50" s="207">
        <v>183</v>
      </c>
      <c r="S50" s="207">
        <v>1216</v>
      </c>
      <c r="T50" s="207">
        <v>618</v>
      </c>
      <c r="U50" s="207">
        <v>596</v>
      </c>
      <c r="V50" s="207">
        <v>8995</v>
      </c>
      <c r="W50" s="207">
        <v>2231</v>
      </c>
      <c r="X50" s="207">
        <v>1239</v>
      </c>
      <c r="Y50" s="207">
        <v>431</v>
      </c>
      <c r="Z50" s="207">
        <v>62</v>
      </c>
      <c r="AA50" s="207">
        <v>0</v>
      </c>
      <c r="AB50" s="207">
        <v>15910</v>
      </c>
      <c r="AC50" s="207">
        <v>475</v>
      </c>
      <c r="AD50" s="207">
        <v>3901</v>
      </c>
      <c r="AE50" s="481">
        <v>0.9316182386488803</v>
      </c>
      <c r="AF50" s="207">
        <v>18102561.073346633</v>
      </c>
      <c r="AG50" s="207" t="e">
        <v>#DIV/0!</v>
      </c>
      <c r="AH50" s="207" t="e">
        <v>#DIV/0!</v>
      </c>
      <c r="AI50" s="207" t="e">
        <v>#DIV/0!</v>
      </c>
      <c r="AJ50" s="175">
        <v>591</v>
      </c>
      <c r="AK50" s="175">
        <v>7795</v>
      </c>
      <c r="AL50" s="175">
        <v>0.7771334457339815</v>
      </c>
      <c r="AM50" s="175">
        <v>475</v>
      </c>
      <c r="AN50" s="175">
        <v>0.028880646926491154</v>
      </c>
      <c r="AO50" s="175">
        <v>0.02559956781602816</v>
      </c>
      <c r="AP50" s="175">
        <v>0</v>
      </c>
      <c r="AQ50" s="175">
        <v>62</v>
      </c>
      <c r="AR50" s="175">
        <v>0</v>
      </c>
      <c r="AS50" s="175">
        <v>0</v>
      </c>
      <c r="AT50" s="175">
        <v>0</v>
      </c>
      <c r="AU50" s="175">
        <v>547.44</v>
      </c>
      <c r="AV50" s="175">
        <v>30.04347508402747</v>
      </c>
      <c r="AW50" s="175">
        <v>0.6041419007005233</v>
      </c>
      <c r="AX50" s="175">
        <v>727</v>
      </c>
      <c r="AY50" s="175">
        <v>5270</v>
      </c>
      <c r="AZ50" s="175">
        <v>0.13795066413662238</v>
      </c>
      <c r="BA50" s="175">
        <v>0.07676682805238788</v>
      </c>
      <c r="BB50" s="175">
        <v>0</v>
      </c>
      <c r="BC50" s="207">
        <v>5063</v>
      </c>
      <c r="BD50" s="175">
        <v>6881</v>
      </c>
      <c r="BE50" s="175">
        <v>0.735794215956983</v>
      </c>
      <c r="BF50" s="175">
        <v>0.32688733336588993</v>
      </c>
      <c r="BG50" s="175">
        <v>0</v>
      </c>
      <c r="BH50" s="175">
        <v>0</v>
      </c>
      <c r="BI50" s="207">
        <v>0</v>
      </c>
      <c r="BJ50" s="207">
        <v>-3947.2799999999997</v>
      </c>
      <c r="BK50" s="207">
        <v>-67432.7</v>
      </c>
      <c r="BL50" s="207">
        <v>-4605.160000000001</v>
      </c>
      <c r="BM50" s="207">
        <v>0</v>
      </c>
      <c r="BN50" s="207">
        <v>0</v>
      </c>
      <c r="BO50" s="207">
        <v>-107529</v>
      </c>
      <c r="BP50" s="207">
        <v>-474647.96198017336</v>
      </c>
      <c r="BQ50" s="207">
        <v>-699984.3200000001</v>
      </c>
      <c r="BR50" s="207">
        <v>-98206.12784617394</v>
      </c>
      <c r="BS50" s="207">
        <v>1200523</v>
      </c>
      <c r="BT50" s="207">
        <v>390977</v>
      </c>
      <c r="BU50" s="207">
        <v>770002.6127360079</v>
      </c>
      <c r="BV50" s="207">
        <v>16847.511053475086</v>
      </c>
      <c r="BW50" s="207">
        <v>79300.42876373355</v>
      </c>
      <c r="BX50" s="207">
        <v>347639.4998992068</v>
      </c>
      <c r="BY50" s="207">
        <v>766328.7059845112</v>
      </c>
      <c r="BZ50" s="207">
        <v>1292371.9047316522</v>
      </c>
      <c r="CA50" s="207">
        <v>326396.5147712025</v>
      </c>
      <c r="CB50" s="207">
        <v>611765.1005247397</v>
      </c>
      <c r="CC50" s="207">
        <v>1480.23</v>
      </c>
      <c r="CD50" s="207">
        <v>41943.760558050475</v>
      </c>
      <c r="CE50" s="207">
        <v>552946.2109259673</v>
      </c>
      <c r="CF50" s="207">
        <v>-1712286.641054206</v>
      </c>
      <c r="CG50" s="207">
        <v>698974.8182140908</v>
      </c>
      <c r="CH50" s="207">
        <v>820585.8637821889</v>
      </c>
      <c r="CI50" s="207">
        <v>0</v>
      </c>
      <c r="CJ50" s="207">
        <v>5183080.369669418</v>
      </c>
      <c r="CK50" s="207">
        <v>-2279269</v>
      </c>
      <c r="CL50" s="207">
        <v>486938.3100000001</v>
      </c>
      <c r="CM50" s="207">
        <v>362323.55000000005</v>
      </c>
      <c r="CN50" s="207">
        <v>124614.76000000007</v>
      </c>
      <c r="CO50" s="207">
        <v>20857450.79134312</v>
      </c>
      <c r="CP50" s="207">
        <v>23525928.059206825</v>
      </c>
      <c r="CQ50" s="207">
        <v>16607</v>
      </c>
    </row>
    <row r="51" spans="1:95" ht="11.25">
      <c r="A51" s="207">
        <v>167</v>
      </c>
      <c r="B51" s="207" t="s">
        <v>108</v>
      </c>
      <c r="C51" s="207">
        <v>76551</v>
      </c>
      <c r="D51" s="207">
        <v>246075470.12</v>
      </c>
      <c r="E51" s="207">
        <v>104969245.10223131</v>
      </c>
      <c r="F51" s="207">
        <v>20254477.152279984</v>
      </c>
      <c r="G51" s="207">
        <v>371299192.3745113</v>
      </c>
      <c r="H51" s="207">
        <v>3664.46</v>
      </c>
      <c r="I51" s="207">
        <v>280518077.46</v>
      </c>
      <c r="J51" s="207">
        <v>90781114.91451132</v>
      </c>
      <c r="K51" s="207">
        <v>3740734.8090602024</v>
      </c>
      <c r="L51" s="207">
        <v>-9035792.506211855</v>
      </c>
      <c r="M51" s="207">
        <v>0</v>
      </c>
      <c r="N51" s="207">
        <v>85486057.21735966</v>
      </c>
      <c r="O51" s="207">
        <v>41070901.716859475</v>
      </c>
      <c r="P51" s="207">
        <v>126556958.93421914</v>
      </c>
      <c r="Q51" s="207">
        <v>4048</v>
      </c>
      <c r="R51" s="207">
        <v>760</v>
      </c>
      <c r="S51" s="207">
        <v>4368</v>
      </c>
      <c r="T51" s="207">
        <v>2155</v>
      </c>
      <c r="U51" s="207">
        <v>2361</v>
      </c>
      <c r="V51" s="207">
        <v>46463</v>
      </c>
      <c r="W51" s="207">
        <v>9482</v>
      </c>
      <c r="X51" s="207">
        <v>4912</v>
      </c>
      <c r="Y51" s="207">
        <v>2002</v>
      </c>
      <c r="Z51" s="207">
        <v>61</v>
      </c>
      <c r="AA51" s="207">
        <v>3</v>
      </c>
      <c r="AB51" s="207">
        <v>72864</v>
      </c>
      <c r="AC51" s="207">
        <v>3623</v>
      </c>
      <c r="AD51" s="207">
        <v>16396</v>
      </c>
      <c r="AE51" s="481">
        <v>1.1606355237835089</v>
      </c>
      <c r="AF51" s="207">
        <v>104969245.10223131</v>
      </c>
      <c r="AG51" s="207" t="e">
        <v>#DIV/0!</v>
      </c>
      <c r="AH51" s="207" t="e">
        <v>#DIV/0!</v>
      </c>
      <c r="AI51" s="207" t="e">
        <v>#DIV/0!</v>
      </c>
      <c r="AJ51" s="175">
        <v>5200</v>
      </c>
      <c r="AK51" s="175">
        <v>35419</v>
      </c>
      <c r="AL51" s="175">
        <v>1.5048433280588507</v>
      </c>
      <c r="AM51" s="175">
        <v>3623</v>
      </c>
      <c r="AN51" s="175">
        <v>0.04732792517406696</v>
      </c>
      <c r="AO51" s="175">
        <v>0.04404684606360396</v>
      </c>
      <c r="AP51" s="175">
        <v>0</v>
      </c>
      <c r="AQ51" s="175">
        <v>61</v>
      </c>
      <c r="AR51" s="175">
        <v>3</v>
      </c>
      <c r="AS51" s="175">
        <v>0</v>
      </c>
      <c r="AT51" s="175">
        <v>0</v>
      </c>
      <c r="AU51" s="175">
        <v>2381.65</v>
      </c>
      <c r="AV51" s="175">
        <v>32.14200239329876</v>
      </c>
      <c r="AW51" s="175">
        <v>0.5646979276156531</v>
      </c>
      <c r="AX51" s="175">
        <v>2169</v>
      </c>
      <c r="AY51" s="175">
        <v>21439</v>
      </c>
      <c r="AZ51" s="175">
        <v>0.1011707635617333</v>
      </c>
      <c r="BA51" s="175">
        <v>0.0399869274774988</v>
      </c>
      <c r="BB51" s="175">
        <v>0</v>
      </c>
      <c r="BC51" s="207">
        <v>33231</v>
      </c>
      <c r="BD51" s="175">
        <v>28818</v>
      </c>
      <c r="BE51" s="175">
        <v>1.153133458255257</v>
      </c>
      <c r="BF51" s="175">
        <v>0.744226575664164</v>
      </c>
      <c r="BG51" s="175">
        <v>0</v>
      </c>
      <c r="BH51" s="175">
        <v>3</v>
      </c>
      <c r="BI51" s="207">
        <v>0</v>
      </c>
      <c r="BJ51" s="207">
        <v>-18372.239999999998</v>
      </c>
      <c r="BK51" s="207">
        <v>-313859.1</v>
      </c>
      <c r="BL51" s="207">
        <v>-21434.280000000002</v>
      </c>
      <c r="BM51" s="207">
        <v>0</v>
      </c>
      <c r="BN51" s="207">
        <v>0</v>
      </c>
      <c r="BO51" s="207">
        <v>1312533</v>
      </c>
      <c r="BP51" s="207">
        <v>-6072251.441822877</v>
      </c>
      <c r="BQ51" s="207">
        <v>-3258010.56</v>
      </c>
      <c r="BR51" s="207">
        <v>12210.197223514318</v>
      </c>
      <c r="BS51" s="207">
        <v>5466814</v>
      </c>
      <c r="BT51" s="207">
        <v>1850095</v>
      </c>
      <c r="BU51" s="207">
        <v>4594015.07155131</v>
      </c>
      <c r="BV51" s="207">
        <v>215631.76150351088</v>
      </c>
      <c r="BW51" s="207">
        <v>465003.0000221078</v>
      </c>
      <c r="BX51" s="207">
        <v>2009551.502761441</v>
      </c>
      <c r="BY51" s="207">
        <v>3964396.5649567964</v>
      </c>
      <c r="BZ51" s="207">
        <v>5401227.402479835</v>
      </c>
      <c r="CA51" s="207">
        <v>2000363.9814795156</v>
      </c>
      <c r="CB51" s="207">
        <v>3459071.459052203</v>
      </c>
      <c r="CC51" s="207">
        <v>6889.59</v>
      </c>
      <c r="CD51" s="207">
        <v>702010.620022894</v>
      </c>
      <c r="CE51" s="207">
        <v>5370566.305611023</v>
      </c>
      <c r="CF51" s="207">
        <v>-9035792.506211855</v>
      </c>
      <c r="CG51" s="207">
        <v>3261137.408364615</v>
      </c>
      <c r="CH51" s="207">
        <v>4707266.524855034</v>
      </c>
      <c r="CI51" s="207">
        <v>0</v>
      </c>
      <c r="CJ51" s="207">
        <v>41070901.716859475</v>
      </c>
      <c r="CK51" s="207">
        <v>-2176731</v>
      </c>
      <c r="CL51" s="207">
        <v>329942.80000000005</v>
      </c>
      <c r="CM51" s="207">
        <v>10576973.6128</v>
      </c>
      <c r="CN51" s="207">
        <v>-10247030.8128</v>
      </c>
      <c r="CO51" s="207">
        <v>124380227.93421914</v>
      </c>
      <c r="CP51" s="207">
        <v>145591732.644289</v>
      </c>
      <c r="CQ51" s="207">
        <v>76067</v>
      </c>
    </row>
    <row r="52" spans="1:95" ht="11.25">
      <c r="A52" s="207">
        <v>169</v>
      </c>
      <c r="B52" s="207" t="s">
        <v>109</v>
      </c>
      <c r="C52" s="207">
        <v>5195</v>
      </c>
      <c r="D52" s="207">
        <v>18865216.81</v>
      </c>
      <c r="E52" s="207">
        <v>5636577.225459404</v>
      </c>
      <c r="F52" s="207">
        <v>915175.7661050758</v>
      </c>
      <c r="G52" s="207">
        <v>25416969.801564477</v>
      </c>
      <c r="H52" s="207">
        <v>3664.46</v>
      </c>
      <c r="I52" s="207">
        <v>19036869.7</v>
      </c>
      <c r="J52" s="207">
        <v>6380100.101564478</v>
      </c>
      <c r="K52" s="207">
        <v>134095.9057378902</v>
      </c>
      <c r="L52" s="207">
        <v>-275169.9557306959</v>
      </c>
      <c r="M52" s="207">
        <v>0</v>
      </c>
      <c r="N52" s="207">
        <v>6239026.051571672</v>
      </c>
      <c r="O52" s="207">
        <v>2377779.983257463</v>
      </c>
      <c r="P52" s="207">
        <v>8616806.034829136</v>
      </c>
      <c r="Q52" s="207">
        <v>246</v>
      </c>
      <c r="R52" s="207">
        <v>57</v>
      </c>
      <c r="S52" s="207">
        <v>368</v>
      </c>
      <c r="T52" s="207">
        <v>211</v>
      </c>
      <c r="U52" s="207">
        <v>205</v>
      </c>
      <c r="V52" s="207">
        <v>2776</v>
      </c>
      <c r="W52" s="207">
        <v>799</v>
      </c>
      <c r="X52" s="207">
        <v>361</v>
      </c>
      <c r="Y52" s="207">
        <v>172</v>
      </c>
      <c r="Z52" s="207">
        <v>27</v>
      </c>
      <c r="AA52" s="207">
        <v>0</v>
      </c>
      <c r="AB52" s="207">
        <v>5052</v>
      </c>
      <c r="AC52" s="207">
        <v>116</v>
      </c>
      <c r="AD52" s="207">
        <v>1332</v>
      </c>
      <c r="AE52" s="481">
        <v>0.9183633910744178</v>
      </c>
      <c r="AF52" s="207">
        <v>5636577.225459404</v>
      </c>
      <c r="AG52" s="207" t="e">
        <v>#DIV/0!</v>
      </c>
      <c r="AH52" s="207" t="e">
        <v>#DIV/0!</v>
      </c>
      <c r="AI52" s="207" t="e">
        <v>#DIV/0!</v>
      </c>
      <c r="AJ52" s="175">
        <v>208</v>
      </c>
      <c r="AK52" s="175">
        <v>2477</v>
      </c>
      <c r="AL52" s="175">
        <v>0.860719351417302</v>
      </c>
      <c r="AM52" s="175">
        <v>116</v>
      </c>
      <c r="AN52" s="175">
        <v>0.022329162656400385</v>
      </c>
      <c r="AO52" s="175">
        <v>0.01904808354593739</v>
      </c>
      <c r="AP52" s="175">
        <v>0</v>
      </c>
      <c r="AQ52" s="175">
        <v>27</v>
      </c>
      <c r="AR52" s="175">
        <v>0</v>
      </c>
      <c r="AS52" s="175">
        <v>0</v>
      </c>
      <c r="AT52" s="175">
        <v>0</v>
      </c>
      <c r="AU52" s="175">
        <v>180.42</v>
      </c>
      <c r="AV52" s="175">
        <v>28.793925285445074</v>
      </c>
      <c r="AW52" s="175">
        <v>0.630359423419356</v>
      </c>
      <c r="AX52" s="175">
        <v>236</v>
      </c>
      <c r="AY52" s="175">
        <v>1628</v>
      </c>
      <c r="AZ52" s="175">
        <v>0.14496314496314497</v>
      </c>
      <c r="BA52" s="175">
        <v>0.08377930887891047</v>
      </c>
      <c r="BB52" s="175">
        <v>0</v>
      </c>
      <c r="BC52" s="207">
        <v>1738</v>
      </c>
      <c r="BD52" s="175">
        <v>2167</v>
      </c>
      <c r="BE52" s="175">
        <v>0.8020304568527918</v>
      </c>
      <c r="BF52" s="175">
        <v>0.39312357426169875</v>
      </c>
      <c r="BG52" s="175">
        <v>0</v>
      </c>
      <c r="BH52" s="175">
        <v>0</v>
      </c>
      <c r="BI52" s="207">
        <v>0</v>
      </c>
      <c r="BJ52" s="207">
        <v>-1246.8</v>
      </c>
      <c r="BK52" s="207">
        <v>-21299.499999999996</v>
      </c>
      <c r="BL52" s="207">
        <v>-1454.6000000000001</v>
      </c>
      <c r="BM52" s="207">
        <v>0</v>
      </c>
      <c r="BN52" s="207">
        <v>0</v>
      </c>
      <c r="BO52" s="207">
        <v>-15340</v>
      </c>
      <c r="BP52" s="207">
        <v>-158578.526645338</v>
      </c>
      <c r="BQ52" s="207">
        <v>-221099.2</v>
      </c>
      <c r="BR52" s="207">
        <v>222840.09286955744</v>
      </c>
      <c r="BS52" s="207">
        <v>431133</v>
      </c>
      <c r="BT52" s="207">
        <v>139452</v>
      </c>
      <c r="BU52" s="207">
        <v>326940.78055129474</v>
      </c>
      <c r="BV52" s="207">
        <v>12066.66858147358</v>
      </c>
      <c r="BW52" s="207">
        <v>33921.12678390197</v>
      </c>
      <c r="BX52" s="207">
        <v>152770.26811155965</v>
      </c>
      <c r="BY52" s="207">
        <v>274456.85582012346</v>
      </c>
      <c r="BZ52" s="207">
        <v>465128.85788012884</v>
      </c>
      <c r="CA52" s="207">
        <v>118944.17022397346</v>
      </c>
      <c r="CB52" s="207">
        <v>221103.60443573224</v>
      </c>
      <c r="CC52" s="207">
        <v>467.54999999999995</v>
      </c>
      <c r="CD52" s="207">
        <v>12639.145820028927</v>
      </c>
      <c r="CE52" s="207">
        <v>448988.22091464204</v>
      </c>
      <c r="CF52" s="207">
        <v>-275169.9557306959</v>
      </c>
      <c r="CG52" s="207">
        <v>223238.38222505574</v>
      </c>
      <c r="CH52" s="207">
        <v>295950.60282167874</v>
      </c>
      <c r="CI52" s="207">
        <v>0</v>
      </c>
      <c r="CJ52" s="207">
        <v>2377779.983257463</v>
      </c>
      <c r="CK52" s="207">
        <v>-938995</v>
      </c>
      <c r="CL52" s="207">
        <v>185490.57000000004</v>
      </c>
      <c r="CM52" s="207">
        <v>229828.33800000005</v>
      </c>
      <c r="CN52" s="207">
        <v>-44337.76800000001</v>
      </c>
      <c r="CO52" s="207">
        <v>7677811.034829136</v>
      </c>
      <c r="CP52" s="207">
        <v>9252540.048454084</v>
      </c>
      <c r="CQ52" s="207">
        <v>5286</v>
      </c>
    </row>
    <row r="53" spans="1:95" ht="11.25">
      <c r="A53" s="207">
        <v>171</v>
      </c>
      <c r="B53" s="207" t="s">
        <v>110</v>
      </c>
      <c r="C53" s="207">
        <v>4812</v>
      </c>
      <c r="D53" s="207">
        <v>17024675.91</v>
      </c>
      <c r="E53" s="207">
        <v>7324063.818155764</v>
      </c>
      <c r="F53" s="207">
        <v>1265241.7839658926</v>
      </c>
      <c r="G53" s="207">
        <v>25613981.512121655</v>
      </c>
      <c r="H53" s="207">
        <v>3664.46</v>
      </c>
      <c r="I53" s="207">
        <v>17633381.52</v>
      </c>
      <c r="J53" s="207">
        <v>7980599.9921216555</v>
      </c>
      <c r="K53" s="207">
        <v>111395.28420966215</v>
      </c>
      <c r="L53" s="207">
        <v>-594733.9664307751</v>
      </c>
      <c r="M53" s="207">
        <v>0</v>
      </c>
      <c r="N53" s="207">
        <v>7497261.309900543</v>
      </c>
      <c r="O53" s="207">
        <v>2945857.6072196867</v>
      </c>
      <c r="P53" s="207">
        <v>10443118.91712023</v>
      </c>
      <c r="Q53" s="207">
        <v>231</v>
      </c>
      <c r="R53" s="207">
        <v>45</v>
      </c>
      <c r="S53" s="207">
        <v>298</v>
      </c>
      <c r="T53" s="207">
        <v>168</v>
      </c>
      <c r="U53" s="207">
        <v>137</v>
      </c>
      <c r="V53" s="207">
        <v>2529</v>
      </c>
      <c r="W53" s="207">
        <v>832</v>
      </c>
      <c r="X53" s="207">
        <v>419</v>
      </c>
      <c r="Y53" s="207">
        <v>153</v>
      </c>
      <c r="Z53" s="207">
        <v>21</v>
      </c>
      <c r="AA53" s="207">
        <v>0</v>
      </c>
      <c r="AB53" s="207">
        <v>4652</v>
      </c>
      <c r="AC53" s="207">
        <v>139</v>
      </c>
      <c r="AD53" s="207">
        <v>1404</v>
      </c>
      <c r="AE53" s="481">
        <v>1.2882826399509295</v>
      </c>
      <c r="AF53" s="207">
        <v>7324063.818155764</v>
      </c>
      <c r="AG53" s="207" t="e">
        <v>#DIV/0!</v>
      </c>
      <c r="AH53" s="207" t="e">
        <v>#DIV/0!</v>
      </c>
      <c r="AI53" s="207" t="e">
        <v>#DIV/0!</v>
      </c>
      <c r="AJ53" s="175">
        <v>203</v>
      </c>
      <c r="AK53" s="175">
        <v>2163</v>
      </c>
      <c r="AL53" s="175">
        <v>0.9619749373033211</v>
      </c>
      <c r="AM53" s="175">
        <v>139</v>
      </c>
      <c r="AN53" s="175">
        <v>0.028886118038237738</v>
      </c>
      <c r="AO53" s="175">
        <v>0.025605038927774743</v>
      </c>
      <c r="AP53" s="175">
        <v>0</v>
      </c>
      <c r="AQ53" s="175">
        <v>21</v>
      </c>
      <c r="AR53" s="175">
        <v>0</v>
      </c>
      <c r="AS53" s="175">
        <v>0</v>
      </c>
      <c r="AT53" s="175">
        <v>0</v>
      </c>
      <c r="AU53" s="175">
        <v>575.12</v>
      </c>
      <c r="AV53" s="175">
        <v>8.366949506190013</v>
      </c>
      <c r="AW53" s="175">
        <v>2.169311781729423</v>
      </c>
      <c r="AX53" s="175">
        <v>212</v>
      </c>
      <c r="AY53" s="175">
        <v>1394</v>
      </c>
      <c r="AZ53" s="175">
        <v>0.15208034433285508</v>
      </c>
      <c r="BA53" s="175">
        <v>0.09089650824862058</v>
      </c>
      <c r="BB53" s="175">
        <v>0</v>
      </c>
      <c r="BC53" s="207">
        <v>1427</v>
      </c>
      <c r="BD53" s="175">
        <v>1874</v>
      </c>
      <c r="BE53" s="175">
        <v>0.7614727854855923</v>
      </c>
      <c r="BF53" s="175">
        <v>0.3525659028944992</v>
      </c>
      <c r="BG53" s="175">
        <v>0</v>
      </c>
      <c r="BH53" s="175">
        <v>0</v>
      </c>
      <c r="BI53" s="207">
        <v>0</v>
      </c>
      <c r="BJ53" s="207">
        <v>-1154.8799999999999</v>
      </c>
      <c r="BK53" s="207">
        <v>-19729.199999999997</v>
      </c>
      <c r="BL53" s="207">
        <v>-1347.3600000000001</v>
      </c>
      <c r="BM53" s="207">
        <v>0</v>
      </c>
      <c r="BN53" s="207">
        <v>0</v>
      </c>
      <c r="BO53" s="207">
        <v>-25108</v>
      </c>
      <c r="BP53" s="207">
        <v>-225986.80857143362</v>
      </c>
      <c r="BQ53" s="207">
        <v>-204798.72</v>
      </c>
      <c r="BR53" s="207">
        <v>-48409.14895039052</v>
      </c>
      <c r="BS53" s="207">
        <v>458018</v>
      </c>
      <c r="BT53" s="207">
        <v>146662</v>
      </c>
      <c r="BU53" s="207">
        <v>360067.20291200245</v>
      </c>
      <c r="BV53" s="207">
        <v>19282.32906391698</v>
      </c>
      <c r="BW53" s="207">
        <v>64627.10886705624</v>
      </c>
      <c r="BX53" s="207">
        <v>183244.2423845158</v>
      </c>
      <c r="BY53" s="207">
        <v>271733.55857463356</v>
      </c>
      <c r="BZ53" s="207">
        <v>427994.98927957815</v>
      </c>
      <c r="CA53" s="207">
        <v>126552.7523738924</v>
      </c>
      <c r="CB53" s="207">
        <v>232621.35515414388</v>
      </c>
      <c r="CC53" s="207">
        <v>433.08</v>
      </c>
      <c r="CD53" s="207">
        <v>-1513.2737967293433</v>
      </c>
      <c r="CE53" s="207">
        <v>155135.2821406585</v>
      </c>
      <c r="CF53" s="207">
        <v>-594733.9664307751</v>
      </c>
      <c r="CG53" s="207">
        <v>224968.74488777836</v>
      </c>
      <c r="CH53" s="207">
        <v>318791.6679992406</v>
      </c>
      <c r="CI53" s="207">
        <v>0</v>
      </c>
      <c r="CJ53" s="207">
        <v>2945857.6072196867</v>
      </c>
      <c r="CK53" s="207">
        <v>-317540</v>
      </c>
      <c r="CL53" s="207">
        <v>4158.37</v>
      </c>
      <c r="CM53" s="207">
        <v>161890.116</v>
      </c>
      <c r="CN53" s="207">
        <v>-157731.746</v>
      </c>
      <c r="CO53" s="207">
        <v>10125578.91712023</v>
      </c>
      <c r="CP53" s="207">
        <v>11427774.399227655</v>
      </c>
      <c r="CQ53" s="207">
        <v>4917</v>
      </c>
    </row>
    <row r="54" spans="1:95" ht="11.25">
      <c r="A54" s="207">
        <v>172</v>
      </c>
      <c r="B54" s="207" t="s">
        <v>111</v>
      </c>
      <c r="C54" s="207">
        <v>4467</v>
      </c>
      <c r="D54" s="207">
        <v>16739047.91</v>
      </c>
      <c r="E54" s="207">
        <v>7500526.919877365</v>
      </c>
      <c r="F54" s="207">
        <v>1546537.5408749396</v>
      </c>
      <c r="G54" s="207">
        <v>25786112.370752305</v>
      </c>
      <c r="H54" s="207">
        <v>3664.46</v>
      </c>
      <c r="I54" s="207">
        <v>16369142.82</v>
      </c>
      <c r="J54" s="207">
        <v>9416969.550752304</v>
      </c>
      <c r="K54" s="207">
        <v>604064.5486299508</v>
      </c>
      <c r="L54" s="207">
        <v>-423647.14853590063</v>
      </c>
      <c r="M54" s="207">
        <v>0</v>
      </c>
      <c r="N54" s="207">
        <v>9597386.950846355</v>
      </c>
      <c r="O54" s="207">
        <v>3505327.078702067</v>
      </c>
      <c r="P54" s="207">
        <v>13102714.029548422</v>
      </c>
      <c r="Q54" s="207">
        <v>142</v>
      </c>
      <c r="R54" s="207">
        <v>31</v>
      </c>
      <c r="S54" s="207">
        <v>228</v>
      </c>
      <c r="T54" s="207">
        <v>121</v>
      </c>
      <c r="U54" s="207">
        <v>98</v>
      </c>
      <c r="V54" s="207">
        <v>2156</v>
      </c>
      <c r="W54" s="207">
        <v>919</v>
      </c>
      <c r="X54" s="207">
        <v>548</v>
      </c>
      <c r="Y54" s="207">
        <v>224</v>
      </c>
      <c r="Z54" s="207">
        <v>11</v>
      </c>
      <c r="AA54" s="207">
        <v>0</v>
      </c>
      <c r="AB54" s="207">
        <v>4369</v>
      </c>
      <c r="AC54" s="207">
        <v>87</v>
      </c>
      <c r="AD54" s="207">
        <v>1691</v>
      </c>
      <c r="AE54" s="481">
        <v>1.4212172660646007</v>
      </c>
      <c r="AF54" s="207">
        <v>7500526.919877365</v>
      </c>
      <c r="AG54" s="207" t="e">
        <v>#DIV/0!</v>
      </c>
      <c r="AH54" s="207" t="e">
        <v>#DIV/0!</v>
      </c>
      <c r="AI54" s="207" t="e">
        <v>#DIV/0!</v>
      </c>
      <c r="AJ54" s="175">
        <v>208</v>
      </c>
      <c r="AK54" s="175">
        <v>1888</v>
      </c>
      <c r="AL54" s="175">
        <v>1.1292382592482293</v>
      </c>
      <c r="AM54" s="175">
        <v>87</v>
      </c>
      <c r="AN54" s="175">
        <v>0.019476158495634655</v>
      </c>
      <c r="AO54" s="175">
        <v>0.01619507938517166</v>
      </c>
      <c r="AP54" s="175">
        <v>0</v>
      </c>
      <c r="AQ54" s="175">
        <v>11</v>
      </c>
      <c r="AR54" s="175">
        <v>0</v>
      </c>
      <c r="AS54" s="175">
        <v>3</v>
      </c>
      <c r="AT54" s="175">
        <v>281</v>
      </c>
      <c r="AU54" s="175">
        <v>867.02</v>
      </c>
      <c r="AV54" s="175">
        <v>5.152130285345206</v>
      </c>
      <c r="AW54" s="175">
        <v>3.522915985362556</v>
      </c>
      <c r="AX54" s="175">
        <v>218</v>
      </c>
      <c r="AY54" s="175">
        <v>1160</v>
      </c>
      <c r="AZ54" s="175">
        <v>0.1879310344827586</v>
      </c>
      <c r="BA54" s="175">
        <v>0.1267471983985241</v>
      </c>
      <c r="BB54" s="175">
        <v>0.477716</v>
      </c>
      <c r="BC54" s="207">
        <v>1382</v>
      </c>
      <c r="BD54" s="175">
        <v>1545</v>
      </c>
      <c r="BE54" s="175">
        <v>0.8944983818770227</v>
      </c>
      <c r="BF54" s="175">
        <v>0.4855914992859296</v>
      </c>
      <c r="BG54" s="175">
        <v>0</v>
      </c>
      <c r="BH54" s="175">
        <v>0</v>
      </c>
      <c r="BI54" s="207">
        <v>0</v>
      </c>
      <c r="BJ54" s="207">
        <v>-1072.08</v>
      </c>
      <c r="BK54" s="207">
        <v>-18314.699999999997</v>
      </c>
      <c r="BL54" s="207">
        <v>-1250.7600000000002</v>
      </c>
      <c r="BM54" s="207">
        <v>0</v>
      </c>
      <c r="BN54" s="207">
        <v>0</v>
      </c>
      <c r="BO54" s="207">
        <v>46067</v>
      </c>
      <c r="BP54" s="207">
        <v>-192329.56268799698</v>
      </c>
      <c r="BQ54" s="207">
        <v>-190115.52000000002</v>
      </c>
      <c r="BR54" s="207">
        <v>-40989.04836730845</v>
      </c>
      <c r="BS54" s="207">
        <v>509443</v>
      </c>
      <c r="BT54" s="207">
        <v>157472</v>
      </c>
      <c r="BU54" s="207">
        <v>386498.84245449177</v>
      </c>
      <c r="BV54" s="207">
        <v>20618.110462585326</v>
      </c>
      <c r="BW54" s="207">
        <v>40447.19861348784</v>
      </c>
      <c r="BX54" s="207">
        <v>194577.63640664515</v>
      </c>
      <c r="BY54" s="207">
        <v>270506.83662957774</v>
      </c>
      <c r="BZ54" s="207">
        <v>404843.30322021345</v>
      </c>
      <c r="CA54" s="207">
        <v>122326.54536871142</v>
      </c>
      <c r="CB54" s="207">
        <v>222307.7076019801</v>
      </c>
      <c r="CC54" s="207">
        <v>402.03</v>
      </c>
      <c r="CD54" s="207">
        <v>18621.81460386124</v>
      </c>
      <c r="CE54" s="207">
        <v>255004.70415209638</v>
      </c>
      <c r="CF54" s="207">
        <v>-423647.14853590063</v>
      </c>
      <c r="CG54" s="207">
        <v>226480.57791554357</v>
      </c>
      <c r="CH54" s="207">
        <v>301431.93973030325</v>
      </c>
      <c r="CI54" s="207">
        <v>0</v>
      </c>
      <c r="CJ54" s="207">
        <v>3505327.078702067</v>
      </c>
      <c r="CK54" s="207">
        <v>-57099</v>
      </c>
      <c r="CL54" s="207">
        <v>290608.71</v>
      </c>
      <c r="CM54" s="207">
        <v>321626.06</v>
      </c>
      <c r="CN54" s="207">
        <v>-31017.349999999977</v>
      </c>
      <c r="CO54" s="207">
        <v>13045615.029548422</v>
      </c>
      <c r="CP54" s="207">
        <v>15008795.794109875</v>
      </c>
      <c r="CQ54" s="207">
        <v>4567</v>
      </c>
    </row>
    <row r="55" spans="1:95" ht="11.25">
      <c r="A55" s="207">
        <v>176</v>
      </c>
      <c r="B55" s="207" t="s">
        <v>112</v>
      </c>
      <c r="C55" s="207">
        <v>4709</v>
      </c>
      <c r="D55" s="207">
        <v>17005543.33</v>
      </c>
      <c r="E55" s="207">
        <v>9980866.808420083</v>
      </c>
      <c r="F55" s="207">
        <v>2214994.4901248063</v>
      </c>
      <c r="G55" s="207">
        <v>29201404.62854489</v>
      </c>
      <c r="H55" s="207">
        <v>3664.46</v>
      </c>
      <c r="I55" s="207">
        <v>17255942.14</v>
      </c>
      <c r="J55" s="207">
        <v>11945462.488544889</v>
      </c>
      <c r="K55" s="207">
        <v>1830995.5775247582</v>
      </c>
      <c r="L55" s="207">
        <v>129129.7720970111</v>
      </c>
      <c r="M55" s="207">
        <v>0</v>
      </c>
      <c r="N55" s="207">
        <v>13905587.838166658</v>
      </c>
      <c r="O55" s="207">
        <v>4784819.622529988</v>
      </c>
      <c r="P55" s="207">
        <v>18690407.460696645</v>
      </c>
      <c r="Q55" s="207">
        <v>154</v>
      </c>
      <c r="R55" s="207">
        <v>21</v>
      </c>
      <c r="S55" s="207">
        <v>228</v>
      </c>
      <c r="T55" s="207">
        <v>149</v>
      </c>
      <c r="U55" s="207">
        <v>106</v>
      </c>
      <c r="V55" s="207">
        <v>2389</v>
      </c>
      <c r="W55" s="207">
        <v>918</v>
      </c>
      <c r="X55" s="207">
        <v>536</v>
      </c>
      <c r="Y55" s="207">
        <v>208</v>
      </c>
      <c r="Z55" s="207">
        <v>4</v>
      </c>
      <c r="AA55" s="207">
        <v>0</v>
      </c>
      <c r="AB55" s="207">
        <v>4612</v>
      </c>
      <c r="AC55" s="207">
        <v>93</v>
      </c>
      <c r="AD55" s="207">
        <v>1662</v>
      </c>
      <c r="AE55" s="481">
        <v>1.7940073707383828</v>
      </c>
      <c r="AF55" s="207">
        <v>9980866.808420083</v>
      </c>
      <c r="AG55" s="207" t="e">
        <v>#DIV/0!</v>
      </c>
      <c r="AH55" s="207" t="e">
        <v>#DIV/0!</v>
      </c>
      <c r="AI55" s="207" t="e">
        <v>#DIV/0!</v>
      </c>
      <c r="AJ55" s="175">
        <v>297</v>
      </c>
      <c r="AK55" s="175">
        <v>1919</v>
      </c>
      <c r="AL55" s="175">
        <v>1.58637447523203</v>
      </c>
      <c r="AM55" s="175">
        <v>93</v>
      </c>
      <c r="AN55" s="175">
        <v>0.01974941601189212</v>
      </c>
      <c r="AO55" s="175">
        <v>0.016468336901429126</v>
      </c>
      <c r="AP55" s="175">
        <v>0</v>
      </c>
      <c r="AQ55" s="175">
        <v>4</v>
      </c>
      <c r="AR55" s="175">
        <v>0</v>
      </c>
      <c r="AS55" s="175">
        <v>3</v>
      </c>
      <c r="AT55" s="175">
        <v>209</v>
      </c>
      <c r="AU55" s="175">
        <v>1501.72</v>
      </c>
      <c r="AV55" s="175">
        <v>3.135737687451722</v>
      </c>
      <c r="AW55" s="175">
        <v>5.788278213941841</v>
      </c>
      <c r="AX55" s="175">
        <v>212</v>
      </c>
      <c r="AY55" s="175">
        <v>1185</v>
      </c>
      <c r="AZ55" s="175">
        <v>0.17890295358649788</v>
      </c>
      <c r="BA55" s="175">
        <v>0.11771911750226338</v>
      </c>
      <c r="BB55" s="175">
        <v>1.082666</v>
      </c>
      <c r="BC55" s="207">
        <v>1483</v>
      </c>
      <c r="BD55" s="175">
        <v>1513</v>
      </c>
      <c r="BE55" s="175">
        <v>0.9801718440185063</v>
      </c>
      <c r="BF55" s="175">
        <v>0.5712649614274132</v>
      </c>
      <c r="BG55" s="175">
        <v>0</v>
      </c>
      <c r="BH55" s="175">
        <v>0</v>
      </c>
      <c r="BI55" s="207">
        <v>0</v>
      </c>
      <c r="BJ55" s="207">
        <v>-1130.1599999999999</v>
      </c>
      <c r="BK55" s="207">
        <v>-19306.899999999998</v>
      </c>
      <c r="BL55" s="207">
        <v>-1318.5200000000002</v>
      </c>
      <c r="BM55" s="207">
        <v>0</v>
      </c>
      <c r="BN55" s="207">
        <v>0</v>
      </c>
      <c r="BO55" s="207">
        <v>323163</v>
      </c>
      <c r="BP55" s="207">
        <v>-137255.59615390637</v>
      </c>
      <c r="BQ55" s="207">
        <v>-200415.04</v>
      </c>
      <c r="BR55" s="207">
        <v>155506.09383029118</v>
      </c>
      <c r="BS55" s="207">
        <v>547362</v>
      </c>
      <c r="BT55" s="207">
        <v>154414</v>
      </c>
      <c r="BU55" s="207">
        <v>415752.7127668068</v>
      </c>
      <c r="BV55" s="207">
        <v>24771.699430695844</v>
      </c>
      <c r="BW55" s="207">
        <v>66604.4829469826</v>
      </c>
      <c r="BX55" s="207">
        <v>225061.96261168466</v>
      </c>
      <c r="BY55" s="207">
        <v>273299.08005427447</v>
      </c>
      <c r="BZ55" s="207">
        <v>416617.9246992255</v>
      </c>
      <c r="CA55" s="207">
        <v>135404.7667914273</v>
      </c>
      <c r="CB55" s="207">
        <v>238022.65096683003</v>
      </c>
      <c r="CC55" s="207">
        <v>423.81</v>
      </c>
      <c r="CD55" s="207">
        <v>38822.141898413305</v>
      </c>
      <c r="CE55" s="207">
        <v>779054.1982509174</v>
      </c>
      <c r="CF55" s="207">
        <v>129129.7720970111</v>
      </c>
      <c r="CG55" s="207">
        <v>256477.24252221297</v>
      </c>
      <c r="CH55" s="207">
        <v>334678.8791119846</v>
      </c>
      <c r="CI55" s="207">
        <v>0</v>
      </c>
      <c r="CJ55" s="207">
        <v>4784819.622529988</v>
      </c>
      <c r="CK55" s="207">
        <v>-314843</v>
      </c>
      <c r="CL55" s="207">
        <v>64079.8</v>
      </c>
      <c r="CM55" s="207">
        <v>184195.34</v>
      </c>
      <c r="CN55" s="207">
        <v>-120115.54</v>
      </c>
      <c r="CO55" s="207">
        <v>18375564.460696645</v>
      </c>
      <c r="CP55" s="207">
        <v>20016474.609248657</v>
      </c>
      <c r="CQ55" s="207">
        <v>4817</v>
      </c>
    </row>
    <row r="56" spans="1:95" ht="11.25">
      <c r="A56" s="207">
        <v>177</v>
      </c>
      <c r="B56" s="207" t="s">
        <v>113</v>
      </c>
      <c r="C56" s="207">
        <v>1884</v>
      </c>
      <c r="D56" s="207">
        <v>7267627.23</v>
      </c>
      <c r="E56" s="207">
        <v>2370530.2431408614</v>
      </c>
      <c r="F56" s="207">
        <v>413912.5505611031</v>
      </c>
      <c r="G56" s="207">
        <v>10052070.023701966</v>
      </c>
      <c r="H56" s="207">
        <v>3664.46</v>
      </c>
      <c r="I56" s="207">
        <v>6903842.64</v>
      </c>
      <c r="J56" s="207">
        <v>3148227.383701966</v>
      </c>
      <c r="K56" s="207">
        <v>76773.9400850715</v>
      </c>
      <c r="L56" s="207">
        <v>-17985.644936752768</v>
      </c>
      <c r="M56" s="207">
        <v>0</v>
      </c>
      <c r="N56" s="207">
        <v>3207015.678850285</v>
      </c>
      <c r="O56" s="207">
        <v>762045.9019461803</v>
      </c>
      <c r="P56" s="207">
        <v>3969061.5807964653</v>
      </c>
      <c r="Q56" s="207">
        <v>91</v>
      </c>
      <c r="R56" s="207">
        <v>30</v>
      </c>
      <c r="S56" s="207">
        <v>118</v>
      </c>
      <c r="T56" s="207">
        <v>76</v>
      </c>
      <c r="U56" s="207">
        <v>52</v>
      </c>
      <c r="V56" s="207">
        <v>938</v>
      </c>
      <c r="W56" s="207">
        <v>322</v>
      </c>
      <c r="X56" s="207">
        <v>181</v>
      </c>
      <c r="Y56" s="207">
        <v>76</v>
      </c>
      <c r="Z56" s="207">
        <v>2</v>
      </c>
      <c r="AA56" s="207">
        <v>0</v>
      </c>
      <c r="AB56" s="207">
        <v>1870</v>
      </c>
      <c r="AC56" s="207">
        <v>12</v>
      </c>
      <c r="AD56" s="207">
        <v>579</v>
      </c>
      <c r="AE56" s="481">
        <v>1.064999135675098</v>
      </c>
      <c r="AF56" s="207">
        <v>2370530.2431408614</v>
      </c>
      <c r="AG56" s="207" t="e">
        <v>#DIV/0!</v>
      </c>
      <c r="AH56" s="207" t="e">
        <v>#DIV/0!</v>
      </c>
      <c r="AI56" s="207" t="e">
        <v>#DIV/0!</v>
      </c>
      <c r="AJ56" s="175">
        <v>59</v>
      </c>
      <c r="AK56" s="175">
        <v>828</v>
      </c>
      <c r="AL56" s="175">
        <v>0.7303750242369168</v>
      </c>
      <c r="AM56" s="175">
        <v>12</v>
      </c>
      <c r="AN56" s="175">
        <v>0.006369426751592357</v>
      </c>
      <c r="AO56" s="175">
        <v>0.0030883476411293605</v>
      </c>
      <c r="AP56" s="175">
        <v>0</v>
      </c>
      <c r="AQ56" s="175">
        <v>2</v>
      </c>
      <c r="AR56" s="175">
        <v>0</v>
      </c>
      <c r="AS56" s="175">
        <v>0</v>
      </c>
      <c r="AT56" s="175">
        <v>0</v>
      </c>
      <c r="AU56" s="175">
        <v>258.5</v>
      </c>
      <c r="AV56" s="175">
        <v>7.288201160541586</v>
      </c>
      <c r="AW56" s="175">
        <v>2.490398075066908</v>
      </c>
      <c r="AX56" s="175">
        <v>92</v>
      </c>
      <c r="AY56" s="175">
        <v>521</v>
      </c>
      <c r="AZ56" s="175">
        <v>0.1765834932821497</v>
      </c>
      <c r="BA56" s="175">
        <v>0.1153996571979152</v>
      </c>
      <c r="BB56" s="175">
        <v>0</v>
      </c>
      <c r="BC56" s="207">
        <v>732</v>
      </c>
      <c r="BD56" s="175">
        <v>711</v>
      </c>
      <c r="BE56" s="175">
        <v>1.029535864978903</v>
      </c>
      <c r="BF56" s="175">
        <v>0.62062898238781</v>
      </c>
      <c r="BG56" s="175">
        <v>0</v>
      </c>
      <c r="BH56" s="175">
        <v>0</v>
      </c>
      <c r="BI56" s="207">
        <v>0</v>
      </c>
      <c r="BJ56" s="207">
        <v>-452.15999999999997</v>
      </c>
      <c r="BK56" s="207">
        <v>-7724.4</v>
      </c>
      <c r="BL56" s="207">
        <v>-527.5200000000001</v>
      </c>
      <c r="BM56" s="207">
        <v>0</v>
      </c>
      <c r="BN56" s="207">
        <v>0</v>
      </c>
      <c r="BO56" s="207">
        <v>74543</v>
      </c>
      <c r="BP56" s="207">
        <v>-35554.53269038418</v>
      </c>
      <c r="BQ56" s="207">
        <v>-80183.04000000001</v>
      </c>
      <c r="BR56" s="207">
        <v>63092.34340299107</v>
      </c>
      <c r="BS56" s="207">
        <v>184962</v>
      </c>
      <c r="BT56" s="207">
        <v>59201</v>
      </c>
      <c r="BU56" s="207">
        <v>142388.02164284655</v>
      </c>
      <c r="BV56" s="207">
        <v>7441.130700675454</v>
      </c>
      <c r="BW56" s="207">
        <v>16358.817618945292</v>
      </c>
      <c r="BX56" s="207">
        <v>62158.934686852546</v>
      </c>
      <c r="BY56" s="207">
        <v>102466.6999239395</v>
      </c>
      <c r="BZ56" s="207">
        <v>189943.87181631447</v>
      </c>
      <c r="CA56" s="207">
        <v>45709.12819189026</v>
      </c>
      <c r="CB56" s="207">
        <v>86024.32833867977</v>
      </c>
      <c r="CC56" s="207">
        <v>169.56</v>
      </c>
      <c r="CD56" s="207">
        <v>-5277.876121368623</v>
      </c>
      <c r="CE56" s="207">
        <v>222679.96775363138</v>
      </c>
      <c r="CF56" s="207">
        <v>-17985.644936752768</v>
      </c>
      <c r="CG56" s="207">
        <v>88287.78047200892</v>
      </c>
      <c r="CH56" s="207">
        <v>119179.70387555152</v>
      </c>
      <c r="CI56" s="207">
        <v>0</v>
      </c>
      <c r="CJ56" s="207">
        <v>762045.9019461803</v>
      </c>
      <c r="CK56" s="207">
        <v>-424208</v>
      </c>
      <c r="CL56" s="207">
        <v>21814.4</v>
      </c>
      <c r="CM56" s="207">
        <v>70896.8</v>
      </c>
      <c r="CN56" s="207">
        <v>-49082.4</v>
      </c>
      <c r="CO56" s="207">
        <v>3544853.5807964653</v>
      </c>
      <c r="CP56" s="207">
        <v>4330943.042069845</v>
      </c>
      <c r="CQ56" s="207">
        <v>1904</v>
      </c>
    </row>
    <row r="57" spans="1:95" ht="11.25">
      <c r="A57" s="207">
        <v>178</v>
      </c>
      <c r="B57" s="207" t="s">
        <v>114</v>
      </c>
      <c r="C57" s="207">
        <v>6225</v>
      </c>
      <c r="D57" s="207">
        <v>23314047.97</v>
      </c>
      <c r="E57" s="207">
        <v>11644863.97272042</v>
      </c>
      <c r="F57" s="207">
        <v>1835537.1681543603</v>
      </c>
      <c r="G57" s="207">
        <v>36794449.11087478</v>
      </c>
      <c r="H57" s="207">
        <v>3664.46</v>
      </c>
      <c r="I57" s="207">
        <v>22811263.5</v>
      </c>
      <c r="J57" s="207">
        <v>13983185.61087478</v>
      </c>
      <c r="K57" s="207">
        <v>783122.3729010506</v>
      </c>
      <c r="L57" s="207">
        <v>-588693.3599166705</v>
      </c>
      <c r="M57" s="207">
        <v>0</v>
      </c>
      <c r="N57" s="207">
        <v>14177614.62385916</v>
      </c>
      <c r="O57" s="207">
        <v>5146731.63875981</v>
      </c>
      <c r="P57" s="207">
        <v>19324346.26261897</v>
      </c>
      <c r="Q57" s="207">
        <v>261</v>
      </c>
      <c r="R57" s="207">
        <v>46</v>
      </c>
      <c r="S57" s="207">
        <v>323</v>
      </c>
      <c r="T57" s="207">
        <v>180</v>
      </c>
      <c r="U57" s="207">
        <v>195</v>
      </c>
      <c r="V57" s="207">
        <v>3096</v>
      </c>
      <c r="W57" s="207">
        <v>1130</v>
      </c>
      <c r="X57" s="207">
        <v>706</v>
      </c>
      <c r="Y57" s="207">
        <v>288</v>
      </c>
      <c r="Z57" s="207">
        <v>20</v>
      </c>
      <c r="AA57" s="207">
        <v>0</v>
      </c>
      <c r="AB57" s="207">
        <v>6054</v>
      </c>
      <c r="AC57" s="207">
        <v>151</v>
      </c>
      <c r="AD57" s="207">
        <v>2124</v>
      </c>
      <c r="AE57" s="481">
        <v>1.5833601753369797</v>
      </c>
      <c r="AF57" s="207">
        <v>11644863.97272042</v>
      </c>
      <c r="AG57" s="207" t="e">
        <v>#DIV/0!</v>
      </c>
      <c r="AH57" s="207" t="e">
        <v>#DIV/0!</v>
      </c>
      <c r="AI57" s="207" t="e">
        <v>#DIV/0!</v>
      </c>
      <c r="AJ57" s="175">
        <v>248</v>
      </c>
      <c r="AK57" s="175">
        <v>2695</v>
      </c>
      <c r="AL57" s="175">
        <v>0.9432290115210556</v>
      </c>
      <c r="AM57" s="175">
        <v>151</v>
      </c>
      <c r="AN57" s="175">
        <v>0.0242570281124498</v>
      </c>
      <c r="AO57" s="175">
        <v>0.020975949001986804</v>
      </c>
      <c r="AP57" s="175">
        <v>0</v>
      </c>
      <c r="AQ57" s="175">
        <v>20</v>
      </c>
      <c r="AR57" s="175">
        <v>0</v>
      </c>
      <c r="AS57" s="175">
        <v>0</v>
      </c>
      <c r="AT57" s="175">
        <v>0</v>
      </c>
      <c r="AU57" s="175">
        <v>1163.18</v>
      </c>
      <c r="AV57" s="175">
        <v>5.351708248078543</v>
      </c>
      <c r="AW57" s="175">
        <v>3.3915380472076118</v>
      </c>
      <c r="AX57" s="175">
        <v>221</v>
      </c>
      <c r="AY57" s="175">
        <v>1610</v>
      </c>
      <c r="AZ57" s="175">
        <v>0.1372670807453416</v>
      </c>
      <c r="BA57" s="175">
        <v>0.07608324466110711</v>
      </c>
      <c r="BB57" s="175">
        <v>0.4344</v>
      </c>
      <c r="BC57" s="207">
        <v>2101</v>
      </c>
      <c r="BD57" s="175">
        <v>2351</v>
      </c>
      <c r="BE57" s="175">
        <v>0.8936622713738834</v>
      </c>
      <c r="BF57" s="175">
        <v>0.48475538878279034</v>
      </c>
      <c r="BG57" s="175">
        <v>0</v>
      </c>
      <c r="BH57" s="175">
        <v>0</v>
      </c>
      <c r="BI57" s="207">
        <v>0</v>
      </c>
      <c r="BJ57" s="207">
        <v>-1494</v>
      </c>
      <c r="BK57" s="207">
        <v>-25522.499999999996</v>
      </c>
      <c r="BL57" s="207">
        <v>-1743.0000000000002</v>
      </c>
      <c r="BM57" s="207">
        <v>0</v>
      </c>
      <c r="BN57" s="207">
        <v>0</v>
      </c>
      <c r="BO57" s="207">
        <v>-95379</v>
      </c>
      <c r="BP57" s="207">
        <v>-190114.6396538018</v>
      </c>
      <c r="BQ57" s="207">
        <v>-264936</v>
      </c>
      <c r="BR57" s="207">
        <v>90682.62796044722</v>
      </c>
      <c r="BS57" s="207">
        <v>705473</v>
      </c>
      <c r="BT57" s="207">
        <v>224298</v>
      </c>
      <c r="BU57" s="207">
        <v>573341.1841903866</v>
      </c>
      <c r="BV57" s="207">
        <v>29992.922592651285</v>
      </c>
      <c r="BW57" s="207">
        <v>63985.8973245744</v>
      </c>
      <c r="BX57" s="207">
        <v>254616.91607701505</v>
      </c>
      <c r="BY57" s="207">
        <v>373516.89299610566</v>
      </c>
      <c r="BZ57" s="207">
        <v>589182.0301147826</v>
      </c>
      <c r="CA57" s="207">
        <v>195151.42496183366</v>
      </c>
      <c r="CB57" s="207">
        <v>321168.96614469704</v>
      </c>
      <c r="CC57" s="207">
        <v>560.25</v>
      </c>
      <c r="CD57" s="207">
        <v>-46056.889938327506</v>
      </c>
      <c r="CE57" s="207">
        <v>279137.02973713126</v>
      </c>
      <c r="CF57" s="207">
        <v>-588693.3599166705</v>
      </c>
      <c r="CG57" s="207">
        <v>323167.2917150115</v>
      </c>
      <c r="CH57" s="207">
        <v>466244.28751190106</v>
      </c>
      <c r="CI57" s="207">
        <v>0</v>
      </c>
      <c r="CJ57" s="207">
        <v>5146731.63875981</v>
      </c>
      <c r="CK57" s="207">
        <v>-570287</v>
      </c>
      <c r="CL57" s="207">
        <v>98164.8</v>
      </c>
      <c r="CM57" s="207">
        <v>128527.718</v>
      </c>
      <c r="CN57" s="207">
        <v>-30362.91799999999</v>
      </c>
      <c r="CO57" s="207">
        <v>18754059.26261897</v>
      </c>
      <c r="CP57" s="207">
        <v>20990368.30621352</v>
      </c>
      <c r="CQ57" s="207">
        <v>6334</v>
      </c>
    </row>
    <row r="58" spans="1:95" ht="11.25">
      <c r="A58" s="207">
        <v>179</v>
      </c>
      <c r="B58" s="207" t="s">
        <v>115</v>
      </c>
      <c r="C58" s="207">
        <v>141305</v>
      </c>
      <c r="D58" s="207">
        <v>451283240.16999996</v>
      </c>
      <c r="E58" s="207">
        <v>161432175.61262825</v>
      </c>
      <c r="F58" s="207">
        <v>32406951.978662472</v>
      </c>
      <c r="G58" s="207">
        <v>645122367.7612907</v>
      </c>
      <c r="H58" s="207">
        <v>3664.46</v>
      </c>
      <c r="I58" s="207">
        <v>517806520.3</v>
      </c>
      <c r="J58" s="207">
        <v>127315847.46129066</v>
      </c>
      <c r="K58" s="207">
        <v>6128086.180721023</v>
      </c>
      <c r="L58" s="207">
        <v>-21635771.662792638</v>
      </c>
      <c r="M58" s="207">
        <v>0</v>
      </c>
      <c r="N58" s="207">
        <v>111808161.97921905</v>
      </c>
      <c r="O58" s="207">
        <v>52760801.082510985</v>
      </c>
      <c r="P58" s="207">
        <v>164568963.06173003</v>
      </c>
      <c r="Q58" s="207">
        <v>8511</v>
      </c>
      <c r="R58" s="207">
        <v>1515</v>
      </c>
      <c r="S58" s="207">
        <v>9277</v>
      </c>
      <c r="T58" s="207">
        <v>4217</v>
      </c>
      <c r="U58" s="207">
        <v>4337</v>
      </c>
      <c r="V58" s="207">
        <v>88044</v>
      </c>
      <c r="W58" s="207">
        <v>14876</v>
      </c>
      <c r="X58" s="207">
        <v>7517</v>
      </c>
      <c r="Y58" s="207">
        <v>3011</v>
      </c>
      <c r="Z58" s="207">
        <v>303</v>
      </c>
      <c r="AA58" s="207">
        <v>14</v>
      </c>
      <c r="AB58" s="207">
        <v>133864</v>
      </c>
      <c r="AC58" s="207">
        <v>7124</v>
      </c>
      <c r="AD58" s="207">
        <v>25404</v>
      </c>
      <c r="AE58" s="481">
        <v>0.9669794034118979</v>
      </c>
      <c r="AF58" s="207">
        <v>161432175.61262825</v>
      </c>
      <c r="AG58" s="207" t="e">
        <v>#DIV/0!</v>
      </c>
      <c r="AH58" s="207" t="e">
        <v>#DIV/0!</v>
      </c>
      <c r="AI58" s="207" t="e">
        <v>#DIV/0!</v>
      </c>
      <c r="AJ58" s="175">
        <v>8391</v>
      </c>
      <c r="AK58" s="175">
        <v>68445</v>
      </c>
      <c r="AL58" s="175">
        <v>1.2565976180038136</v>
      </c>
      <c r="AM58" s="175">
        <v>7124</v>
      </c>
      <c r="AN58" s="175">
        <v>0.050415767311843177</v>
      </c>
      <c r="AO58" s="175">
        <v>0.04713468820138018</v>
      </c>
      <c r="AP58" s="175">
        <v>0</v>
      </c>
      <c r="AQ58" s="175">
        <v>303</v>
      </c>
      <c r="AR58" s="175">
        <v>14</v>
      </c>
      <c r="AS58" s="175">
        <v>3</v>
      </c>
      <c r="AT58" s="175">
        <v>480</v>
      </c>
      <c r="AU58" s="175">
        <v>1170.97</v>
      </c>
      <c r="AV58" s="175">
        <v>120.67345875641561</v>
      </c>
      <c r="AW58" s="175">
        <v>0.1504102254792477</v>
      </c>
      <c r="AX58" s="175">
        <v>4029</v>
      </c>
      <c r="AY58" s="175">
        <v>42951</v>
      </c>
      <c r="AZ58" s="175">
        <v>0.09380456799608856</v>
      </c>
      <c r="BA58" s="175">
        <v>0.03262073191185407</v>
      </c>
      <c r="BB58" s="175">
        <v>0</v>
      </c>
      <c r="BC58" s="207">
        <v>60992</v>
      </c>
      <c r="BD58" s="175">
        <v>57034</v>
      </c>
      <c r="BE58" s="175">
        <v>1.0693972016691797</v>
      </c>
      <c r="BF58" s="175">
        <v>0.6604903190780866</v>
      </c>
      <c r="BG58" s="175">
        <v>0</v>
      </c>
      <c r="BH58" s="175">
        <v>14</v>
      </c>
      <c r="BI58" s="207">
        <v>0</v>
      </c>
      <c r="BJ58" s="207">
        <v>-33913.2</v>
      </c>
      <c r="BK58" s="207">
        <v>-579350.5</v>
      </c>
      <c r="BL58" s="207">
        <v>-39565.4</v>
      </c>
      <c r="BM58" s="207">
        <v>0</v>
      </c>
      <c r="BN58" s="207">
        <v>0</v>
      </c>
      <c r="BO58" s="207">
        <v>802550</v>
      </c>
      <c r="BP58" s="207">
        <v>-15809869.544672064</v>
      </c>
      <c r="BQ58" s="207">
        <v>-6013940.800000001</v>
      </c>
      <c r="BR58" s="207">
        <v>1194022.427228272</v>
      </c>
      <c r="BS58" s="207">
        <v>8785583</v>
      </c>
      <c r="BT58" s="207">
        <v>3161859</v>
      </c>
      <c r="BU58" s="207">
        <v>7430869.090428259</v>
      </c>
      <c r="BV58" s="207">
        <v>300591.73226042686</v>
      </c>
      <c r="BW58" s="207">
        <v>289311.7897391442</v>
      </c>
      <c r="BX58" s="207">
        <v>3241992.4344182685</v>
      </c>
      <c r="BY58" s="207">
        <v>6842359.596594489</v>
      </c>
      <c r="BZ58" s="207">
        <v>9234603.101677883</v>
      </c>
      <c r="CA58" s="207">
        <v>3555495.819735662</v>
      </c>
      <c r="CB58" s="207">
        <v>5933426.192848912</v>
      </c>
      <c r="CC58" s="207">
        <v>12717.449999999999</v>
      </c>
      <c r="CD58" s="207">
        <v>1742652.803527923</v>
      </c>
      <c r="CE58" s="207">
        <v>9557973.231879426</v>
      </c>
      <c r="CF58" s="207">
        <v>-21635771.662792638</v>
      </c>
      <c r="CG58" s="207">
        <v>5666138.601123232</v>
      </c>
      <c r="CH58" s="207">
        <v>8169330.292156138</v>
      </c>
      <c r="CI58" s="207">
        <v>0</v>
      </c>
      <c r="CJ58" s="207">
        <v>52760801.082510985</v>
      </c>
      <c r="CK58" s="207">
        <v>-21922071</v>
      </c>
      <c r="CL58" s="207">
        <v>879802.0199999999</v>
      </c>
      <c r="CM58" s="207">
        <v>10888379.626399998</v>
      </c>
      <c r="CN58" s="207">
        <v>-10008577.606399998</v>
      </c>
      <c r="CO58" s="207">
        <v>142646892.06173003</v>
      </c>
      <c r="CP58" s="207">
        <v>167550230.99465752</v>
      </c>
      <c r="CQ58" s="207">
        <v>140188</v>
      </c>
    </row>
    <row r="59" spans="1:95" ht="11.25">
      <c r="A59" s="207">
        <v>181</v>
      </c>
      <c r="B59" s="207" t="s">
        <v>116</v>
      </c>
      <c r="C59" s="207">
        <v>1809</v>
      </c>
      <c r="D59" s="207">
        <v>6829054.91</v>
      </c>
      <c r="E59" s="207">
        <v>2105697.890811596</v>
      </c>
      <c r="F59" s="207">
        <v>412281.7966011383</v>
      </c>
      <c r="G59" s="207">
        <v>9347034.597412735</v>
      </c>
      <c r="H59" s="207">
        <v>3664.46</v>
      </c>
      <c r="I59" s="207">
        <v>6629008.14</v>
      </c>
      <c r="J59" s="207">
        <v>2718026.4574127356</v>
      </c>
      <c r="K59" s="207">
        <v>31068.279633259604</v>
      </c>
      <c r="L59" s="207">
        <v>-25538.98133616621</v>
      </c>
      <c r="M59" s="207">
        <v>0</v>
      </c>
      <c r="N59" s="207">
        <v>2723555.755709829</v>
      </c>
      <c r="O59" s="207">
        <v>1867996.4650927314</v>
      </c>
      <c r="P59" s="207">
        <v>4591552.22080256</v>
      </c>
      <c r="Q59" s="207">
        <v>100</v>
      </c>
      <c r="R59" s="207">
        <v>17</v>
      </c>
      <c r="S59" s="207">
        <v>106</v>
      </c>
      <c r="T59" s="207">
        <v>59</v>
      </c>
      <c r="U59" s="207">
        <v>60</v>
      </c>
      <c r="V59" s="207">
        <v>920</v>
      </c>
      <c r="W59" s="207">
        <v>315</v>
      </c>
      <c r="X59" s="207">
        <v>152</v>
      </c>
      <c r="Y59" s="207">
        <v>80</v>
      </c>
      <c r="Z59" s="207">
        <v>3</v>
      </c>
      <c r="AA59" s="207">
        <v>0</v>
      </c>
      <c r="AB59" s="207">
        <v>1773</v>
      </c>
      <c r="AC59" s="207">
        <v>33</v>
      </c>
      <c r="AD59" s="207">
        <v>547</v>
      </c>
      <c r="AE59" s="481">
        <v>0.9852402565125177</v>
      </c>
      <c r="AF59" s="207">
        <v>2105697.890811596</v>
      </c>
      <c r="AG59" s="207" t="e">
        <v>#DIV/0!</v>
      </c>
      <c r="AH59" s="207" t="e">
        <v>#DIV/0!</v>
      </c>
      <c r="AI59" s="207" t="e">
        <v>#DIV/0!</v>
      </c>
      <c r="AJ59" s="175">
        <v>61</v>
      </c>
      <c r="AK59" s="175">
        <v>798</v>
      </c>
      <c r="AL59" s="175">
        <v>0.7835219770646573</v>
      </c>
      <c r="AM59" s="175">
        <v>33</v>
      </c>
      <c r="AN59" s="175">
        <v>0.01824212271973466</v>
      </c>
      <c r="AO59" s="175">
        <v>0.014961043609271665</v>
      </c>
      <c r="AP59" s="175">
        <v>0</v>
      </c>
      <c r="AQ59" s="175">
        <v>3</v>
      </c>
      <c r="AR59" s="175">
        <v>0</v>
      </c>
      <c r="AS59" s="175">
        <v>0</v>
      </c>
      <c r="AT59" s="175">
        <v>0</v>
      </c>
      <c r="AU59" s="175">
        <v>214.3</v>
      </c>
      <c r="AV59" s="175">
        <v>8.441437237517498</v>
      </c>
      <c r="AW59" s="175">
        <v>2.150169648865502</v>
      </c>
      <c r="AX59" s="175">
        <v>78</v>
      </c>
      <c r="AY59" s="175">
        <v>487</v>
      </c>
      <c r="AZ59" s="175">
        <v>0.1601642710472279</v>
      </c>
      <c r="BA59" s="175">
        <v>0.09898043496299341</v>
      </c>
      <c r="BB59" s="175">
        <v>0</v>
      </c>
      <c r="BC59" s="207">
        <v>470</v>
      </c>
      <c r="BD59" s="175">
        <v>701</v>
      </c>
      <c r="BE59" s="175">
        <v>0.6704707560627675</v>
      </c>
      <c r="BF59" s="175">
        <v>0.2615638734716744</v>
      </c>
      <c r="BG59" s="175">
        <v>0</v>
      </c>
      <c r="BH59" s="175">
        <v>0</v>
      </c>
      <c r="BI59" s="207">
        <v>0</v>
      </c>
      <c r="BJ59" s="207">
        <v>-434.15999999999997</v>
      </c>
      <c r="BK59" s="207">
        <v>-7416.9</v>
      </c>
      <c r="BL59" s="207">
        <v>-506.52000000000004</v>
      </c>
      <c r="BM59" s="207">
        <v>0</v>
      </c>
      <c r="BN59" s="207">
        <v>0</v>
      </c>
      <c r="BO59" s="207">
        <v>110216</v>
      </c>
      <c r="BP59" s="207">
        <v>-22974.167534247033</v>
      </c>
      <c r="BQ59" s="207">
        <v>-76991.04000000001</v>
      </c>
      <c r="BR59" s="207">
        <v>3841.2930621225387</v>
      </c>
      <c r="BS59" s="207">
        <v>217242</v>
      </c>
      <c r="BT59" s="207">
        <v>62326</v>
      </c>
      <c r="BU59" s="207">
        <v>163679.80649145006</v>
      </c>
      <c r="BV59" s="207">
        <v>9322.772986339844</v>
      </c>
      <c r="BW59" s="207">
        <v>20546.144547529064</v>
      </c>
      <c r="BX59" s="207">
        <v>83560.39822784677</v>
      </c>
      <c r="BY59" s="207">
        <v>128322.02545125858</v>
      </c>
      <c r="BZ59" s="207">
        <v>196867.21888913724</v>
      </c>
      <c r="CA59" s="207">
        <v>55474.804142205925</v>
      </c>
      <c r="CB59" s="207">
        <v>100521.38449145175</v>
      </c>
      <c r="CC59" s="207">
        <v>162.81</v>
      </c>
      <c r="CD59" s="207">
        <v>-3725.4196630100014</v>
      </c>
      <c r="CE59" s="207">
        <v>194381.01619808082</v>
      </c>
      <c r="CF59" s="207">
        <v>-25538.98133616621</v>
      </c>
      <c r="CG59" s="207">
        <v>82095.42279896825</v>
      </c>
      <c r="CH59" s="207">
        <v>137140.64145245624</v>
      </c>
      <c r="CI59" s="207">
        <v>0</v>
      </c>
      <c r="CJ59" s="207">
        <v>1867996.4650927314</v>
      </c>
      <c r="CK59" s="207">
        <v>-379169</v>
      </c>
      <c r="CL59" s="207">
        <v>24541.2</v>
      </c>
      <c r="CM59" s="207">
        <v>100482.58</v>
      </c>
      <c r="CN59" s="207">
        <v>-75941.38</v>
      </c>
      <c r="CO59" s="207">
        <v>4212383.22080256</v>
      </c>
      <c r="CP59" s="207">
        <v>5347866.236981495</v>
      </c>
      <c r="CQ59" s="207">
        <v>1867</v>
      </c>
    </row>
    <row r="60" spans="1:95" ht="11.25">
      <c r="A60" s="207">
        <v>182</v>
      </c>
      <c r="B60" s="207" t="s">
        <v>117</v>
      </c>
      <c r="C60" s="207">
        <v>20607</v>
      </c>
      <c r="D60" s="207">
        <v>74330715.5</v>
      </c>
      <c r="E60" s="207">
        <v>32296777.128317807</v>
      </c>
      <c r="F60" s="207">
        <v>4680683.192408141</v>
      </c>
      <c r="G60" s="207">
        <v>111308175.82072595</v>
      </c>
      <c r="H60" s="207">
        <v>3664.46</v>
      </c>
      <c r="I60" s="207">
        <v>75513527.22</v>
      </c>
      <c r="J60" s="207">
        <v>35794648.60072595</v>
      </c>
      <c r="K60" s="207">
        <v>824943.4540343737</v>
      </c>
      <c r="L60" s="207">
        <v>-1927316.4885953893</v>
      </c>
      <c r="M60" s="207">
        <v>0</v>
      </c>
      <c r="N60" s="207">
        <v>34692275.56616493</v>
      </c>
      <c r="O60" s="207">
        <v>4089110.290329493</v>
      </c>
      <c r="P60" s="207">
        <v>38781385.85649443</v>
      </c>
      <c r="Q60" s="207">
        <v>869</v>
      </c>
      <c r="R60" s="207">
        <v>206</v>
      </c>
      <c r="S60" s="207">
        <v>1256</v>
      </c>
      <c r="T60" s="207">
        <v>624</v>
      </c>
      <c r="U60" s="207">
        <v>700</v>
      </c>
      <c r="V60" s="207">
        <v>10730</v>
      </c>
      <c r="W60" s="207">
        <v>3482</v>
      </c>
      <c r="X60" s="207">
        <v>1949</v>
      </c>
      <c r="Y60" s="207">
        <v>791</v>
      </c>
      <c r="Z60" s="207">
        <v>35</v>
      </c>
      <c r="AA60" s="207">
        <v>1</v>
      </c>
      <c r="AB60" s="207">
        <v>20151</v>
      </c>
      <c r="AC60" s="207">
        <v>420</v>
      </c>
      <c r="AD60" s="207">
        <v>6222</v>
      </c>
      <c r="AE60" s="481">
        <v>1.3265666314796847</v>
      </c>
      <c r="AF60" s="207">
        <v>32296777.128317807</v>
      </c>
      <c r="AG60" s="207" t="e">
        <v>#DIV/0!</v>
      </c>
      <c r="AH60" s="207" t="e">
        <v>#DIV/0!</v>
      </c>
      <c r="AI60" s="207" t="e">
        <v>#DIV/0!</v>
      </c>
      <c r="AJ60" s="175">
        <v>1148</v>
      </c>
      <c r="AK60" s="175">
        <v>9334</v>
      </c>
      <c r="AL60" s="175">
        <v>1.2606610369929798</v>
      </c>
      <c r="AM60" s="175">
        <v>420</v>
      </c>
      <c r="AN60" s="175">
        <v>0.020381423788033193</v>
      </c>
      <c r="AO60" s="175">
        <v>0.017100344677570198</v>
      </c>
      <c r="AP60" s="175">
        <v>0</v>
      </c>
      <c r="AQ60" s="175">
        <v>35</v>
      </c>
      <c r="AR60" s="175">
        <v>1</v>
      </c>
      <c r="AS60" s="175">
        <v>0</v>
      </c>
      <c r="AT60" s="175">
        <v>0</v>
      </c>
      <c r="AU60" s="175">
        <v>1571.36</v>
      </c>
      <c r="AV60" s="175">
        <v>13.114117706954486</v>
      </c>
      <c r="AW60" s="175">
        <v>1.384044473787806</v>
      </c>
      <c r="AX60" s="175">
        <v>669</v>
      </c>
      <c r="AY60" s="175">
        <v>5797</v>
      </c>
      <c r="AZ60" s="175">
        <v>0.11540451957909263</v>
      </c>
      <c r="BA60" s="175">
        <v>0.05422068349485814</v>
      </c>
      <c r="BB60" s="175">
        <v>0</v>
      </c>
      <c r="BC60" s="207">
        <v>7778</v>
      </c>
      <c r="BD60" s="175">
        <v>7636</v>
      </c>
      <c r="BE60" s="175">
        <v>1.0185961236249346</v>
      </c>
      <c r="BF60" s="175">
        <v>0.6096892410338415</v>
      </c>
      <c r="BG60" s="175">
        <v>0</v>
      </c>
      <c r="BH60" s="175">
        <v>1</v>
      </c>
      <c r="BI60" s="207">
        <v>0</v>
      </c>
      <c r="BJ60" s="207">
        <v>-4945.679999999999</v>
      </c>
      <c r="BK60" s="207">
        <v>-84488.7</v>
      </c>
      <c r="BL60" s="207">
        <v>-5769.960000000001</v>
      </c>
      <c r="BM60" s="207">
        <v>0</v>
      </c>
      <c r="BN60" s="207">
        <v>0</v>
      </c>
      <c r="BO60" s="207">
        <v>679529</v>
      </c>
      <c r="BP60" s="207">
        <v>-1162503.823192343</v>
      </c>
      <c r="BQ60" s="207">
        <v>-877033.92</v>
      </c>
      <c r="BR60" s="207">
        <v>-265582.5474530235</v>
      </c>
      <c r="BS60" s="207">
        <v>1709403</v>
      </c>
      <c r="BT60" s="207">
        <v>519708</v>
      </c>
      <c r="BU60" s="207">
        <v>1219725.933246363</v>
      </c>
      <c r="BV60" s="207">
        <v>52030.81360531352</v>
      </c>
      <c r="BW60" s="207">
        <v>106519.75003969</v>
      </c>
      <c r="BX60" s="207">
        <v>662484.2833680044</v>
      </c>
      <c r="BY60" s="207">
        <v>949791.640446603</v>
      </c>
      <c r="BZ60" s="207">
        <v>1573152.60032277</v>
      </c>
      <c r="CA60" s="207">
        <v>463806.8679394927</v>
      </c>
      <c r="CB60" s="207">
        <v>847753.7983554073</v>
      </c>
      <c r="CC60" s="207">
        <v>1854.6299999999999</v>
      </c>
      <c r="CD60" s="207">
        <v>64844.726942492125</v>
      </c>
      <c r="CE60" s="207">
        <v>1478671.4245969537</v>
      </c>
      <c r="CF60" s="207">
        <v>-1927316.4885953893</v>
      </c>
      <c r="CG60" s="207">
        <v>977624.6851074849</v>
      </c>
      <c r="CH60" s="207">
        <v>1107512.7441243378</v>
      </c>
      <c r="CI60" s="207">
        <v>0</v>
      </c>
      <c r="CJ60" s="207">
        <v>4089110.290329493</v>
      </c>
      <c r="CK60" s="207">
        <v>-1848782</v>
      </c>
      <c r="CL60" s="207">
        <v>297357.54000000004</v>
      </c>
      <c r="CM60" s="207">
        <v>324039.278</v>
      </c>
      <c r="CN60" s="207">
        <v>-26681.737999999954</v>
      </c>
      <c r="CO60" s="207">
        <v>36932603.85649443</v>
      </c>
      <c r="CP60" s="207">
        <v>41661940.36233819</v>
      </c>
      <c r="CQ60" s="207">
        <v>20877</v>
      </c>
    </row>
    <row r="61" spans="1:95" ht="11.25">
      <c r="A61" s="207">
        <v>186</v>
      </c>
      <c r="B61" s="207" t="s">
        <v>118</v>
      </c>
      <c r="C61" s="207">
        <v>43410</v>
      </c>
      <c r="D61" s="207">
        <v>140093604.31</v>
      </c>
      <c r="E61" s="207">
        <v>44788630.395412385</v>
      </c>
      <c r="F61" s="207">
        <v>9542130.796824656</v>
      </c>
      <c r="G61" s="207">
        <v>194424365.50223705</v>
      </c>
      <c r="H61" s="207">
        <v>3664.46</v>
      </c>
      <c r="I61" s="207">
        <v>159074208.6</v>
      </c>
      <c r="J61" s="207">
        <v>35350156.90223706</v>
      </c>
      <c r="K61" s="207">
        <v>708303.9199891312</v>
      </c>
      <c r="L61" s="207">
        <v>-7693690.193760123</v>
      </c>
      <c r="M61" s="207">
        <v>0</v>
      </c>
      <c r="N61" s="207">
        <v>28364770.628466066</v>
      </c>
      <c r="O61" s="207">
        <v>-5285056.654794966</v>
      </c>
      <c r="P61" s="207">
        <v>23079713.9736711</v>
      </c>
      <c r="Q61" s="207">
        <v>2885</v>
      </c>
      <c r="R61" s="207">
        <v>513</v>
      </c>
      <c r="S61" s="207">
        <v>3101</v>
      </c>
      <c r="T61" s="207">
        <v>1505</v>
      </c>
      <c r="U61" s="207">
        <v>1417</v>
      </c>
      <c r="V61" s="207">
        <v>26343</v>
      </c>
      <c r="W61" s="207">
        <v>4875</v>
      </c>
      <c r="X61" s="207">
        <v>2102</v>
      </c>
      <c r="Y61" s="207">
        <v>669</v>
      </c>
      <c r="Z61" s="207">
        <v>447</v>
      </c>
      <c r="AA61" s="207">
        <v>1</v>
      </c>
      <c r="AB61" s="207">
        <v>40519</v>
      </c>
      <c r="AC61" s="207">
        <v>2443</v>
      </c>
      <c r="AD61" s="207">
        <v>7646</v>
      </c>
      <c r="AE61" s="481">
        <v>0.873298370408603</v>
      </c>
      <c r="AF61" s="207">
        <v>44788630.395412385</v>
      </c>
      <c r="AG61" s="207" t="e">
        <v>#DIV/0!</v>
      </c>
      <c r="AH61" s="207" t="e">
        <v>#DIV/0!</v>
      </c>
      <c r="AI61" s="207" t="e">
        <v>#DIV/0!</v>
      </c>
      <c r="AJ61" s="175">
        <v>1862</v>
      </c>
      <c r="AK61" s="175">
        <v>21632</v>
      </c>
      <c r="AL61" s="175">
        <v>0.882281638914514</v>
      </c>
      <c r="AM61" s="175">
        <v>2443</v>
      </c>
      <c r="AN61" s="175">
        <v>0.05627735544805344</v>
      </c>
      <c r="AO61" s="175">
        <v>0.052996276337590444</v>
      </c>
      <c r="AP61" s="175">
        <v>0</v>
      </c>
      <c r="AQ61" s="175">
        <v>447</v>
      </c>
      <c r="AR61" s="175">
        <v>1</v>
      </c>
      <c r="AS61" s="175">
        <v>0</v>
      </c>
      <c r="AT61" s="175">
        <v>0</v>
      </c>
      <c r="AU61" s="175">
        <v>37.54</v>
      </c>
      <c r="AV61" s="175">
        <v>1156.3665423548216</v>
      </c>
      <c r="AW61" s="175">
        <v>0.01569616680879706</v>
      </c>
      <c r="AX61" s="175">
        <v>2032</v>
      </c>
      <c r="AY61" s="175">
        <v>14321</v>
      </c>
      <c r="AZ61" s="175">
        <v>0.14188953285385097</v>
      </c>
      <c r="BA61" s="175">
        <v>0.08070569676961648</v>
      </c>
      <c r="BB61" s="175">
        <v>0</v>
      </c>
      <c r="BC61" s="207">
        <v>12734</v>
      </c>
      <c r="BD61" s="175">
        <v>19370</v>
      </c>
      <c r="BE61" s="175">
        <v>0.6574083634486318</v>
      </c>
      <c r="BF61" s="175">
        <v>0.24850148085753876</v>
      </c>
      <c r="BG61" s="175">
        <v>0</v>
      </c>
      <c r="BH61" s="175">
        <v>1</v>
      </c>
      <c r="BI61" s="207">
        <v>0</v>
      </c>
      <c r="BJ61" s="207">
        <v>-10418.4</v>
      </c>
      <c r="BK61" s="207">
        <v>-177980.99999999997</v>
      </c>
      <c r="BL61" s="207">
        <v>-12154.800000000001</v>
      </c>
      <c r="BM61" s="207">
        <v>0</v>
      </c>
      <c r="BN61" s="207">
        <v>0</v>
      </c>
      <c r="BO61" s="207">
        <v>-411492</v>
      </c>
      <c r="BP61" s="207">
        <v>-4503142.529394914</v>
      </c>
      <c r="BQ61" s="207">
        <v>-1847529.6</v>
      </c>
      <c r="BR61" s="207">
        <v>6565.417614400387</v>
      </c>
      <c r="BS61" s="207">
        <v>2359895</v>
      </c>
      <c r="BT61" s="207">
        <v>788024</v>
      </c>
      <c r="BU61" s="207">
        <v>1560793.0796292792</v>
      </c>
      <c r="BV61" s="207">
        <v>16432.02133447396</v>
      </c>
      <c r="BW61" s="207">
        <v>-52180.45663947103</v>
      </c>
      <c r="BX61" s="207">
        <v>532891.3765182814</v>
      </c>
      <c r="BY61" s="207">
        <v>1745645.3373874046</v>
      </c>
      <c r="BZ61" s="207">
        <v>2615186.796961021</v>
      </c>
      <c r="CA61" s="207">
        <v>832380.7624925362</v>
      </c>
      <c r="CB61" s="207">
        <v>1405740.983470449</v>
      </c>
      <c r="CC61" s="207">
        <v>3906.8999999999996</v>
      </c>
      <c r="CD61" s="207">
        <v>185904.92260215647</v>
      </c>
      <c r="CE61" s="207">
        <v>1535499.0356347892</v>
      </c>
      <c r="CF61" s="207">
        <v>-7693690.193760123</v>
      </c>
      <c r="CG61" s="207">
        <v>1707637.8954182325</v>
      </c>
      <c r="CH61" s="207">
        <v>1991847.767444478</v>
      </c>
      <c r="CI61" s="207">
        <v>0</v>
      </c>
      <c r="CJ61" s="207">
        <v>-5285056.654794966</v>
      </c>
      <c r="CK61" s="207">
        <v>-859654</v>
      </c>
      <c r="CL61" s="207">
        <v>746325.16</v>
      </c>
      <c r="CM61" s="207">
        <v>2363756.5747999996</v>
      </c>
      <c r="CN61" s="207">
        <v>-1617431.4147999994</v>
      </c>
      <c r="CO61" s="207">
        <v>22220059.9736711</v>
      </c>
      <c r="CP61" s="207">
        <v>27278113.230278492</v>
      </c>
      <c r="CQ61" s="207">
        <v>42572</v>
      </c>
    </row>
    <row r="62" spans="1:95" ht="11.25">
      <c r="A62" s="207">
        <v>202</v>
      </c>
      <c r="B62" s="207" t="s">
        <v>119</v>
      </c>
      <c r="C62" s="207">
        <v>33458</v>
      </c>
      <c r="D62" s="207">
        <v>118282120.56</v>
      </c>
      <c r="E62" s="207">
        <v>31471194.613963615</v>
      </c>
      <c r="F62" s="207">
        <v>6045893.267516347</v>
      </c>
      <c r="G62" s="207">
        <v>155799208.44147995</v>
      </c>
      <c r="H62" s="207">
        <v>3664.46</v>
      </c>
      <c r="I62" s="207">
        <v>122605502.68</v>
      </c>
      <c r="J62" s="207">
        <v>33193705.761479944</v>
      </c>
      <c r="K62" s="207">
        <v>502558.6228664721</v>
      </c>
      <c r="L62" s="207">
        <v>-4432089.559714548</v>
      </c>
      <c r="M62" s="207">
        <v>0</v>
      </c>
      <c r="N62" s="207">
        <v>29264174.82463187</v>
      </c>
      <c r="O62" s="207">
        <v>-3375564.148540983</v>
      </c>
      <c r="P62" s="207">
        <v>25888610.67609089</v>
      </c>
      <c r="Q62" s="207">
        <v>2320</v>
      </c>
      <c r="R62" s="207">
        <v>425</v>
      </c>
      <c r="S62" s="207">
        <v>2725</v>
      </c>
      <c r="T62" s="207">
        <v>1256</v>
      </c>
      <c r="U62" s="207">
        <v>1176</v>
      </c>
      <c r="V62" s="207">
        <v>18680</v>
      </c>
      <c r="W62" s="207">
        <v>4085</v>
      </c>
      <c r="X62" s="207">
        <v>2104</v>
      </c>
      <c r="Y62" s="207">
        <v>687</v>
      </c>
      <c r="Z62" s="207">
        <v>1470</v>
      </c>
      <c r="AA62" s="207">
        <v>0</v>
      </c>
      <c r="AB62" s="207">
        <v>30355</v>
      </c>
      <c r="AC62" s="207">
        <v>1633</v>
      </c>
      <c r="AD62" s="207">
        <v>6876</v>
      </c>
      <c r="AE62" s="481">
        <v>0.7961555100685959</v>
      </c>
      <c r="AF62" s="207">
        <v>31471194.613963615</v>
      </c>
      <c r="AG62" s="207" t="e">
        <v>#DIV/0!</v>
      </c>
      <c r="AH62" s="207" t="e">
        <v>#DIV/0!</v>
      </c>
      <c r="AI62" s="207" t="e">
        <v>#DIV/0!</v>
      </c>
      <c r="AJ62" s="175">
        <v>1079</v>
      </c>
      <c r="AK62" s="175">
        <v>15817</v>
      </c>
      <c r="AL62" s="175">
        <v>0.699232440480316</v>
      </c>
      <c r="AM62" s="175">
        <v>1633</v>
      </c>
      <c r="AN62" s="175">
        <v>0.048807460099228886</v>
      </c>
      <c r="AO62" s="175">
        <v>0.04552638098876589</v>
      </c>
      <c r="AP62" s="175">
        <v>0</v>
      </c>
      <c r="AQ62" s="175">
        <v>1470</v>
      </c>
      <c r="AR62" s="175">
        <v>0</v>
      </c>
      <c r="AS62" s="175">
        <v>3</v>
      </c>
      <c r="AT62" s="175">
        <v>253</v>
      </c>
      <c r="AU62" s="175">
        <v>150.64</v>
      </c>
      <c r="AV62" s="175">
        <v>222.10568242166758</v>
      </c>
      <c r="AW62" s="175">
        <v>0.08172020608844402</v>
      </c>
      <c r="AX62" s="175">
        <v>1275</v>
      </c>
      <c r="AY62" s="175">
        <v>11409</v>
      </c>
      <c r="AZ62" s="175">
        <v>0.1117538785169603</v>
      </c>
      <c r="BA62" s="175">
        <v>0.0505700424327258</v>
      </c>
      <c r="BB62" s="175">
        <v>0</v>
      </c>
      <c r="BC62" s="207">
        <v>9053</v>
      </c>
      <c r="BD62" s="175">
        <v>14197</v>
      </c>
      <c r="BE62" s="175">
        <v>0.6376699302669578</v>
      </c>
      <c r="BF62" s="175">
        <v>0.22876304767586475</v>
      </c>
      <c r="BG62" s="175">
        <v>0</v>
      </c>
      <c r="BH62" s="175">
        <v>0</v>
      </c>
      <c r="BI62" s="207">
        <v>0</v>
      </c>
      <c r="BJ62" s="207">
        <v>-8029.92</v>
      </c>
      <c r="BK62" s="207">
        <v>-137177.8</v>
      </c>
      <c r="BL62" s="207">
        <v>-9368.240000000002</v>
      </c>
      <c r="BM62" s="207">
        <v>0</v>
      </c>
      <c r="BN62" s="207">
        <v>0</v>
      </c>
      <c r="BO62" s="207">
        <v>-258828</v>
      </c>
      <c r="BP62" s="207">
        <v>-1303659.813861052</v>
      </c>
      <c r="BQ62" s="207">
        <v>-1423972.48</v>
      </c>
      <c r="BR62" s="207">
        <v>-589213.1656560749</v>
      </c>
      <c r="BS62" s="207">
        <v>1895488</v>
      </c>
      <c r="BT62" s="207">
        <v>618556</v>
      </c>
      <c r="BU62" s="207">
        <v>1109986.7560428085</v>
      </c>
      <c r="BV62" s="207">
        <v>-1846.6552465841792</v>
      </c>
      <c r="BW62" s="207">
        <v>-517236.3332715238</v>
      </c>
      <c r="BX62" s="207">
        <v>530666.280176738</v>
      </c>
      <c r="BY62" s="207">
        <v>1161563.2820562536</v>
      </c>
      <c r="BZ62" s="207">
        <v>2246161.297196478</v>
      </c>
      <c r="CA62" s="207">
        <v>554637.8307877718</v>
      </c>
      <c r="CB62" s="207">
        <v>1065917.3026987626</v>
      </c>
      <c r="CC62" s="207">
        <v>3011.22</v>
      </c>
      <c r="CD62" s="207">
        <v>-42342.1741211786</v>
      </c>
      <c r="CE62" s="207">
        <v>514142.714146503</v>
      </c>
      <c r="CF62" s="207">
        <v>-4432089.559714548</v>
      </c>
      <c r="CG62" s="207">
        <v>1368391.4139237565</v>
      </c>
      <c r="CH62" s="207">
        <v>1358182.7715054078</v>
      </c>
      <c r="CI62" s="207">
        <v>0</v>
      </c>
      <c r="CJ62" s="207">
        <v>-3375564.148540983</v>
      </c>
      <c r="CK62" s="207">
        <v>-2529109</v>
      </c>
      <c r="CL62" s="207">
        <v>969718.25</v>
      </c>
      <c r="CM62" s="207">
        <v>3097745.6916</v>
      </c>
      <c r="CN62" s="207">
        <v>-2128027.4416</v>
      </c>
      <c r="CO62" s="207">
        <v>23359501.67609089</v>
      </c>
      <c r="CP62" s="207">
        <v>27121841.981876567</v>
      </c>
      <c r="CQ62" s="207">
        <v>33099</v>
      </c>
    </row>
    <row r="63" spans="1:95" ht="11.25">
      <c r="A63" s="207">
        <v>204</v>
      </c>
      <c r="B63" s="207" t="s">
        <v>120</v>
      </c>
      <c r="C63" s="207">
        <v>2990</v>
      </c>
      <c r="D63" s="207">
        <v>11107364.600000001</v>
      </c>
      <c r="E63" s="207">
        <v>7270931.471231672</v>
      </c>
      <c r="F63" s="207">
        <v>1101285.2111099612</v>
      </c>
      <c r="G63" s="207">
        <v>19479581.282341637</v>
      </c>
      <c r="H63" s="207">
        <v>3664.46</v>
      </c>
      <c r="I63" s="207">
        <v>10956735.4</v>
      </c>
      <c r="J63" s="207">
        <v>8522845.882341636</v>
      </c>
      <c r="K63" s="207">
        <v>256338.53756252222</v>
      </c>
      <c r="L63" s="207">
        <v>-514302.70240718074</v>
      </c>
      <c r="M63" s="207">
        <v>0</v>
      </c>
      <c r="N63" s="207">
        <v>8264881.717496979</v>
      </c>
      <c r="O63" s="207">
        <v>3186877.9397309353</v>
      </c>
      <c r="P63" s="207">
        <v>11451759.657227915</v>
      </c>
      <c r="Q63" s="207">
        <v>119</v>
      </c>
      <c r="R63" s="207">
        <v>22</v>
      </c>
      <c r="S63" s="207">
        <v>154</v>
      </c>
      <c r="T63" s="207">
        <v>103</v>
      </c>
      <c r="U63" s="207">
        <v>81</v>
      </c>
      <c r="V63" s="207">
        <v>1504</v>
      </c>
      <c r="W63" s="207">
        <v>536</v>
      </c>
      <c r="X63" s="207">
        <v>344</v>
      </c>
      <c r="Y63" s="207">
        <v>127</v>
      </c>
      <c r="Z63" s="207">
        <v>2</v>
      </c>
      <c r="AA63" s="207">
        <v>0</v>
      </c>
      <c r="AB63" s="207">
        <v>2926</v>
      </c>
      <c r="AC63" s="207">
        <v>62</v>
      </c>
      <c r="AD63" s="207">
        <v>1007</v>
      </c>
      <c r="AE63" s="481">
        <v>2.0582755562489528</v>
      </c>
      <c r="AF63" s="207">
        <v>7270931.471231672</v>
      </c>
      <c r="AG63" s="207" t="e">
        <v>#DIV/0!</v>
      </c>
      <c r="AH63" s="207" t="e">
        <v>#DIV/0!</v>
      </c>
      <c r="AI63" s="207" t="e">
        <v>#DIV/0!</v>
      </c>
      <c r="AJ63" s="175">
        <v>145</v>
      </c>
      <c r="AK63" s="175">
        <v>1133</v>
      </c>
      <c r="AL63" s="175">
        <v>1.3117840054136198</v>
      </c>
      <c r="AM63" s="175">
        <v>62</v>
      </c>
      <c r="AN63" s="175">
        <v>0.02073578595317726</v>
      </c>
      <c r="AO63" s="175">
        <v>0.017454706842714263</v>
      </c>
      <c r="AP63" s="175">
        <v>0</v>
      </c>
      <c r="AQ63" s="175">
        <v>2</v>
      </c>
      <c r="AR63" s="175">
        <v>0</v>
      </c>
      <c r="AS63" s="175">
        <v>0</v>
      </c>
      <c r="AT63" s="175">
        <v>0</v>
      </c>
      <c r="AU63" s="175">
        <v>674.03</v>
      </c>
      <c r="AV63" s="175">
        <v>4.436004332151388</v>
      </c>
      <c r="AW63" s="175">
        <v>4.091637604896222</v>
      </c>
      <c r="AX63" s="175">
        <v>145</v>
      </c>
      <c r="AY63" s="175">
        <v>792</v>
      </c>
      <c r="AZ63" s="175">
        <v>0.1830808080808081</v>
      </c>
      <c r="BA63" s="175">
        <v>0.1218969719965736</v>
      </c>
      <c r="BB63" s="175">
        <v>0.230133</v>
      </c>
      <c r="BC63" s="207">
        <v>899</v>
      </c>
      <c r="BD63" s="175">
        <v>940</v>
      </c>
      <c r="BE63" s="175">
        <v>0.9563829787234043</v>
      </c>
      <c r="BF63" s="175">
        <v>0.5474760961323112</v>
      </c>
      <c r="BG63" s="175">
        <v>0</v>
      </c>
      <c r="BH63" s="175">
        <v>0</v>
      </c>
      <c r="BI63" s="207">
        <v>0</v>
      </c>
      <c r="BJ63" s="207">
        <v>-717.6</v>
      </c>
      <c r="BK63" s="207">
        <v>-12258.999999999998</v>
      </c>
      <c r="BL63" s="207">
        <v>-837.2</v>
      </c>
      <c r="BM63" s="207">
        <v>0</v>
      </c>
      <c r="BN63" s="207">
        <v>0</v>
      </c>
      <c r="BO63" s="207">
        <v>-75363</v>
      </c>
      <c r="BP63" s="207">
        <v>-181959.914688372</v>
      </c>
      <c r="BQ63" s="207">
        <v>-127254.40000000001</v>
      </c>
      <c r="BR63" s="207">
        <v>-95514.19307007454</v>
      </c>
      <c r="BS63" s="207">
        <v>355721</v>
      </c>
      <c r="BT63" s="207">
        <v>98791</v>
      </c>
      <c r="BU63" s="207">
        <v>249680.168300314</v>
      </c>
      <c r="BV63" s="207">
        <v>13431.18733569948</v>
      </c>
      <c r="BW63" s="207">
        <v>37694.39862510979</v>
      </c>
      <c r="BX63" s="207">
        <v>138561.89410991914</v>
      </c>
      <c r="BY63" s="207">
        <v>169510.2915271634</v>
      </c>
      <c r="BZ63" s="207">
        <v>257725.92299652047</v>
      </c>
      <c r="CA63" s="207">
        <v>73820.34447128476</v>
      </c>
      <c r="CB63" s="207">
        <v>151372.51474612678</v>
      </c>
      <c r="CC63" s="207">
        <v>269.09999999999997</v>
      </c>
      <c r="CD63" s="207">
        <v>-10263.528033585499</v>
      </c>
      <c r="CE63" s="207">
        <v>-6821.487718808745</v>
      </c>
      <c r="CF63" s="207">
        <v>-514302.70240718074</v>
      </c>
      <c r="CG63" s="207">
        <v>171090.0333848513</v>
      </c>
      <c r="CH63" s="207">
        <v>203836.21459180806</v>
      </c>
      <c r="CI63" s="207">
        <v>0</v>
      </c>
      <c r="CJ63" s="207">
        <v>3186877.9397309353</v>
      </c>
      <c r="CK63" s="207">
        <v>-516337</v>
      </c>
      <c r="CL63" s="207">
        <v>31426.37</v>
      </c>
      <c r="CM63" s="207">
        <v>1137375.548</v>
      </c>
      <c r="CN63" s="207">
        <v>-1105949.1779999998</v>
      </c>
      <c r="CO63" s="207">
        <v>10935422.657227915</v>
      </c>
      <c r="CP63" s="207">
        <v>12315874.53647548</v>
      </c>
      <c r="CQ63" s="207">
        <v>3048</v>
      </c>
    </row>
    <row r="64" spans="1:95" ht="11.25">
      <c r="A64" s="207">
        <v>205</v>
      </c>
      <c r="B64" s="207" t="s">
        <v>121</v>
      </c>
      <c r="C64" s="207">
        <v>36973</v>
      </c>
      <c r="D64" s="207">
        <v>127687101.63</v>
      </c>
      <c r="E64" s="207">
        <v>54198446.16677672</v>
      </c>
      <c r="F64" s="207">
        <v>7780217.91581585</v>
      </c>
      <c r="G64" s="207">
        <v>189665765.71259257</v>
      </c>
      <c r="H64" s="207">
        <v>3664.46</v>
      </c>
      <c r="I64" s="207">
        <v>135486079.58</v>
      </c>
      <c r="J64" s="207">
        <v>54179686.13259256</v>
      </c>
      <c r="K64" s="207">
        <v>2442626.733031233</v>
      </c>
      <c r="L64" s="207">
        <v>-3226552.3539961493</v>
      </c>
      <c r="M64" s="207">
        <v>0</v>
      </c>
      <c r="N64" s="207">
        <v>53395760.511627644</v>
      </c>
      <c r="O64" s="207">
        <v>16442628.358729929</v>
      </c>
      <c r="P64" s="207">
        <v>69838388.87035757</v>
      </c>
      <c r="Q64" s="207">
        <v>2150</v>
      </c>
      <c r="R64" s="207">
        <v>418</v>
      </c>
      <c r="S64" s="207">
        <v>2538</v>
      </c>
      <c r="T64" s="207">
        <v>1179</v>
      </c>
      <c r="U64" s="207">
        <v>1212</v>
      </c>
      <c r="V64" s="207">
        <v>21129</v>
      </c>
      <c r="W64" s="207">
        <v>4760</v>
      </c>
      <c r="X64" s="207">
        <v>2552</v>
      </c>
      <c r="Y64" s="207">
        <v>1035</v>
      </c>
      <c r="Z64" s="207">
        <v>37</v>
      </c>
      <c r="AA64" s="207">
        <v>2</v>
      </c>
      <c r="AB64" s="207">
        <v>35677</v>
      </c>
      <c r="AC64" s="207">
        <v>1257</v>
      </c>
      <c r="AD64" s="207">
        <v>8347</v>
      </c>
      <c r="AE64" s="481">
        <v>1.2407571837697233</v>
      </c>
      <c r="AF64" s="207">
        <v>54198446.16677672</v>
      </c>
      <c r="AG64" s="207" t="e">
        <v>#DIV/0!</v>
      </c>
      <c r="AH64" s="207" t="e">
        <v>#DIV/0!</v>
      </c>
      <c r="AI64" s="207" t="e">
        <v>#DIV/0!</v>
      </c>
      <c r="AJ64" s="175">
        <v>1839</v>
      </c>
      <c r="AK64" s="175">
        <v>17215</v>
      </c>
      <c r="AL64" s="175">
        <v>1.094961731644515</v>
      </c>
      <c r="AM64" s="175">
        <v>1257</v>
      </c>
      <c r="AN64" s="175">
        <v>0.033997782165363914</v>
      </c>
      <c r="AO64" s="175">
        <v>0.03071670305490092</v>
      </c>
      <c r="AP64" s="175">
        <v>0</v>
      </c>
      <c r="AQ64" s="175">
        <v>37</v>
      </c>
      <c r="AR64" s="175">
        <v>2</v>
      </c>
      <c r="AS64" s="175">
        <v>0</v>
      </c>
      <c r="AT64" s="175">
        <v>0</v>
      </c>
      <c r="AU64" s="175">
        <v>1834.78</v>
      </c>
      <c r="AV64" s="175">
        <v>20.1511897884215</v>
      </c>
      <c r="AW64" s="175">
        <v>0.9007171453142744</v>
      </c>
      <c r="AX64" s="175">
        <v>982</v>
      </c>
      <c r="AY64" s="175">
        <v>10597</v>
      </c>
      <c r="AZ64" s="175">
        <v>0.09266773615174106</v>
      </c>
      <c r="BA64" s="175">
        <v>0.03148390006750657</v>
      </c>
      <c r="BB64" s="175">
        <v>0.109183</v>
      </c>
      <c r="BC64" s="207">
        <v>15558</v>
      </c>
      <c r="BD64" s="175">
        <v>14742</v>
      </c>
      <c r="BE64" s="175">
        <v>1.0553520553520555</v>
      </c>
      <c r="BF64" s="175">
        <v>0.6464451727609624</v>
      </c>
      <c r="BG64" s="175">
        <v>0</v>
      </c>
      <c r="BH64" s="175">
        <v>2</v>
      </c>
      <c r="BI64" s="207">
        <v>0</v>
      </c>
      <c r="BJ64" s="207">
        <v>-8873.52</v>
      </c>
      <c r="BK64" s="207">
        <v>-151589.3</v>
      </c>
      <c r="BL64" s="207">
        <v>-10352.44</v>
      </c>
      <c r="BM64" s="207">
        <v>0</v>
      </c>
      <c r="BN64" s="207">
        <v>0</v>
      </c>
      <c r="BO64" s="207">
        <v>1371592</v>
      </c>
      <c r="BP64" s="207">
        <v>-1959790.1951040563</v>
      </c>
      <c r="BQ64" s="207">
        <v>-1573570.8800000001</v>
      </c>
      <c r="BR64" s="207">
        <v>-536331.1401641965</v>
      </c>
      <c r="BS64" s="207">
        <v>2592766</v>
      </c>
      <c r="BT64" s="207">
        <v>851137</v>
      </c>
      <c r="BU64" s="207">
        <v>1854193.7933830146</v>
      </c>
      <c r="BV64" s="207">
        <v>75734.94462794969</v>
      </c>
      <c r="BW64" s="207">
        <v>347880.491883763</v>
      </c>
      <c r="BX64" s="207">
        <v>1027227.4196650238</v>
      </c>
      <c r="BY64" s="207">
        <v>1791204.8751561167</v>
      </c>
      <c r="BZ64" s="207">
        <v>2813546.3021177156</v>
      </c>
      <c r="CA64" s="207">
        <v>835976.783384323</v>
      </c>
      <c r="CB64" s="207">
        <v>1533689.289289748</v>
      </c>
      <c r="CC64" s="207">
        <v>3327.5699999999997</v>
      </c>
      <c r="CD64" s="207">
        <v>217453.75057552074</v>
      </c>
      <c r="CE64" s="207">
        <v>2758488.3511079066</v>
      </c>
      <c r="CF64" s="207">
        <v>-3226552.3539961493</v>
      </c>
      <c r="CG64" s="207">
        <v>1665842.9006965826</v>
      </c>
      <c r="CH64" s="207">
        <v>2021923.3912457123</v>
      </c>
      <c r="CI64" s="207">
        <v>0</v>
      </c>
      <c r="CJ64" s="207">
        <v>16442628.358729929</v>
      </c>
      <c r="CK64" s="207">
        <v>25114851</v>
      </c>
      <c r="CL64" s="207">
        <v>437787.74</v>
      </c>
      <c r="CM64" s="207">
        <v>589247.8460000001</v>
      </c>
      <c r="CN64" s="207">
        <v>-151460.10600000015</v>
      </c>
      <c r="CO64" s="207">
        <v>94953239.87035757</v>
      </c>
      <c r="CP64" s="207">
        <v>102148875.82932805</v>
      </c>
      <c r="CQ64" s="207">
        <v>37239</v>
      </c>
    </row>
    <row r="65" spans="1:95" ht="11.25">
      <c r="A65" s="207">
        <v>208</v>
      </c>
      <c r="B65" s="207" t="s">
        <v>122</v>
      </c>
      <c r="C65" s="207">
        <v>12387</v>
      </c>
      <c r="D65" s="207">
        <v>47086940.589999996</v>
      </c>
      <c r="E65" s="207">
        <v>15111835.096123423</v>
      </c>
      <c r="F65" s="207">
        <v>2322699.3778926507</v>
      </c>
      <c r="G65" s="207">
        <v>64521475.06401607</v>
      </c>
      <c r="H65" s="207">
        <v>3664.46</v>
      </c>
      <c r="I65" s="207">
        <v>45391666.02</v>
      </c>
      <c r="J65" s="207">
        <v>19129809.044016063</v>
      </c>
      <c r="K65" s="207">
        <v>410309.3705731414</v>
      </c>
      <c r="L65" s="207">
        <v>-776868.3364457327</v>
      </c>
      <c r="M65" s="207">
        <v>0</v>
      </c>
      <c r="N65" s="207">
        <v>18763250.07814347</v>
      </c>
      <c r="O65" s="207">
        <v>10369718.992214534</v>
      </c>
      <c r="P65" s="207">
        <v>29132969.070358004</v>
      </c>
      <c r="Q65" s="207">
        <v>796</v>
      </c>
      <c r="R65" s="207">
        <v>164</v>
      </c>
      <c r="S65" s="207">
        <v>980</v>
      </c>
      <c r="T65" s="207">
        <v>512</v>
      </c>
      <c r="U65" s="207">
        <v>438</v>
      </c>
      <c r="V65" s="207">
        <v>6427</v>
      </c>
      <c r="W65" s="207">
        <v>1761</v>
      </c>
      <c r="X65" s="207">
        <v>924</v>
      </c>
      <c r="Y65" s="207">
        <v>385</v>
      </c>
      <c r="Z65" s="207">
        <v>56</v>
      </c>
      <c r="AA65" s="207">
        <v>1</v>
      </c>
      <c r="AB65" s="207">
        <v>12046</v>
      </c>
      <c r="AC65" s="207">
        <v>284</v>
      </c>
      <c r="AD65" s="207">
        <v>3070</v>
      </c>
      <c r="AE65" s="481">
        <v>1.032608561658832</v>
      </c>
      <c r="AF65" s="207">
        <v>15111835.096123423</v>
      </c>
      <c r="AG65" s="207" t="e">
        <v>#DIV/0!</v>
      </c>
      <c r="AH65" s="207" t="e">
        <v>#DIV/0!</v>
      </c>
      <c r="AI65" s="207" t="e">
        <v>#DIV/0!</v>
      </c>
      <c r="AJ65" s="175">
        <v>399</v>
      </c>
      <c r="AK65" s="175">
        <v>5532</v>
      </c>
      <c r="AL65" s="175">
        <v>0.7392902236209624</v>
      </c>
      <c r="AM65" s="175">
        <v>284</v>
      </c>
      <c r="AN65" s="175">
        <v>0.022927262452571245</v>
      </c>
      <c r="AO65" s="175">
        <v>0.01964618334210825</v>
      </c>
      <c r="AP65" s="175">
        <v>0</v>
      </c>
      <c r="AQ65" s="175">
        <v>56</v>
      </c>
      <c r="AR65" s="175">
        <v>1</v>
      </c>
      <c r="AS65" s="175">
        <v>0</v>
      </c>
      <c r="AT65" s="175">
        <v>0</v>
      </c>
      <c r="AU65" s="175">
        <v>922.97</v>
      </c>
      <c r="AV65" s="175">
        <v>13.420804576530115</v>
      </c>
      <c r="AW65" s="175">
        <v>1.3524168418825082</v>
      </c>
      <c r="AX65" s="175">
        <v>447</v>
      </c>
      <c r="AY65" s="175">
        <v>3538</v>
      </c>
      <c r="AZ65" s="175">
        <v>0.1263425664217072</v>
      </c>
      <c r="BA65" s="175">
        <v>0.06515873033747269</v>
      </c>
      <c r="BB65" s="175">
        <v>0</v>
      </c>
      <c r="BC65" s="207">
        <v>4503</v>
      </c>
      <c r="BD65" s="175">
        <v>4930</v>
      </c>
      <c r="BE65" s="175">
        <v>0.9133874239350913</v>
      </c>
      <c r="BF65" s="175">
        <v>0.5044805413439982</v>
      </c>
      <c r="BG65" s="175">
        <v>0</v>
      </c>
      <c r="BH65" s="175">
        <v>1</v>
      </c>
      <c r="BI65" s="207">
        <v>0</v>
      </c>
      <c r="BJ65" s="207">
        <v>-2972.88</v>
      </c>
      <c r="BK65" s="207">
        <v>-50786.7</v>
      </c>
      <c r="BL65" s="207">
        <v>-3468.36</v>
      </c>
      <c r="BM65" s="207">
        <v>0</v>
      </c>
      <c r="BN65" s="207">
        <v>0</v>
      </c>
      <c r="BO65" s="207">
        <v>27931</v>
      </c>
      <c r="BP65" s="207">
        <v>-191755.90630205238</v>
      </c>
      <c r="BQ65" s="207">
        <v>-527190.72</v>
      </c>
      <c r="BR65" s="207">
        <v>174079.73907664046</v>
      </c>
      <c r="BS65" s="207">
        <v>1129537</v>
      </c>
      <c r="BT65" s="207">
        <v>361572</v>
      </c>
      <c r="BU65" s="207">
        <v>874686.7781186404</v>
      </c>
      <c r="BV65" s="207">
        <v>40153.21745856467</v>
      </c>
      <c r="BW65" s="207">
        <v>-24432.856551359495</v>
      </c>
      <c r="BX65" s="207">
        <v>371268.24533248646</v>
      </c>
      <c r="BY65" s="207">
        <v>697889.440491932</v>
      </c>
      <c r="BZ65" s="207">
        <v>1075183.5111417584</v>
      </c>
      <c r="CA65" s="207">
        <v>341540.5014360135</v>
      </c>
      <c r="CB65" s="207">
        <v>582309.9376593543</v>
      </c>
      <c r="CC65" s="207">
        <v>1114.83</v>
      </c>
      <c r="CD65" s="207">
        <v>-18623.43962822322</v>
      </c>
      <c r="CE65" s="207">
        <v>763460.2598563195</v>
      </c>
      <c r="CF65" s="207">
        <v>-776868.3364457327</v>
      </c>
      <c r="CG65" s="207">
        <v>566695.0004079023</v>
      </c>
      <c r="CH65" s="207">
        <v>843127.7497728853</v>
      </c>
      <c r="CI65" s="207">
        <v>0</v>
      </c>
      <c r="CJ65" s="207">
        <v>10369718.992214534</v>
      </c>
      <c r="CK65" s="207">
        <v>-993389</v>
      </c>
      <c r="CL65" s="207">
        <v>81872.17</v>
      </c>
      <c r="CM65" s="207">
        <v>107122.33799999999</v>
      </c>
      <c r="CN65" s="207">
        <v>-25250.16799999999</v>
      </c>
      <c r="CO65" s="207">
        <v>28139580.070358004</v>
      </c>
      <c r="CP65" s="207">
        <v>31299658.712016463</v>
      </c>
      <c r="CQ65" s="207">
        <v>12516</v>
      </c>
    </row>
    <row r="66" spans="1:95" ht="11.25">
      <c r="A66" s="207">
        <v>211</v>
      </c>
      <c r="B66" s="207" t="s">
        <v>123</v>
      </c>
      <c r="C66" s="207">
        <v>31676</v>
      </c>
      <c r="D66" s="207">
        <v>114603582.43</v>
      </c>
      <c r="E66" s="207">
        <v>32227829.43111347</v>
      </c>
      <c r="F66" s="207">
        <v>4129699.909018057</v>
      </c>
      <c r="G66" s="207">
        <v>150961111.77013156</v>
      </c>
      <c r="H66" s="207">
        <v>3664.46</v>
      </c>
      <c r="I66" s="207">
        <v>116075434.96000001</v>
      </c>
      <c r="J66" s="207">
        <v>34885676.81013155</v>
      </c>
      <c r="K66" s="207">
        <v>476470.8751558624</v>
      </c>
      <c r="L66" s="207">
        <v>-3216399.8647486055</v>
      </c>
      <c r="M66" s="207">
        <v>0</v>
      </c>
      <c r="N66" s="207">
        <v>32145747.82053881</v>
      </c>
      <c r="O66" s="207">
        <v>3361191.5517428303</v>
      </c>
      <c r="P66" s="207">
        <v>35506939.37228164</v>
      </c>
      <c r="Q66" s="207">
        <v>2203</v>
      </c>
      <c r="R66" s="207">
        <v>438</v>
      </c>
      <c r="S66" s="207">
        <v>2675</v>
      </c>
      <c r="T66" s="207">
        <v>1304</v>
      </c>
      <c r="U66" s="207">
        <v>1124</v>
      </c>
      <c r="V66" s="207">
        <v>17619</v>
      </c>
      <c r="W66" s="207">
        <v>3661</v>
      </c>
      <c r="X66" s="207">
        <v>1972</v>
      </c>
      <c r="Y66" s="207">
        <v>680</v>
      </c>
      <c r="Z66" s="207">
        <v>77</v>
      </c>
      <c r="AA66" s="207">
        <v>0</v>
      </c>
      <c r="AB66" s="207">
        <v>30870</v>
      </c>
      <c r="AC66" s="207">
        <v>729</v>
      </c>
      <c r="AD66" s="207">
        <v>6313</v>
      </c>
      <c r="AE66" s="481">
        <v>0.8611630267331468</v>
      </c>
      <c r="AF66" s="207">
        <v>32227829.43111347</v>
      </c>
      <c r="AG66" s="207" t="e">
        <v>#DIV/0!</v>
      </c>
      <c r="AH66" s="207" t="e">
        <v>#DIV/0!</v>
      </c>
      <c r="AI66" s="207" t="e">
        <v>#DIV/0!</v>
      </c>
      <c r="AJ66" s="175">
        <v>1057</v>
      </c>
      <c r="AK66" s="175">
        <v>15107</v>
      </c>
      <c r="AL66" s="175">
        <v>0.7171681549714328</v>
      </c>
      <c r="AM66" s="175">
        <v>729</v>
      </c>
      <c r="AN66" s="175">
        <v>0.023014269478469504</v>
      </c>
      <c r="AO66" s="175">
        <v>0.01973319036800651</v>
      </c>
      <c r="AP66" s="175">
        <v>0</v>
      </c>
      <c r="AQ66" s="175">
        <v>77</v>
      </c>
      <c r="AR66" s="175">
        <v>0</v>
      </c>
      <c r="AS66" s="175">
        <v>0</v>
      </c>
      <c r="AT66" s="175">
        <v>0</v>
      </c>
      <c r="AU66" s="175">
        <v>658.07</v>
      </c>
      <c r="AV66" s="175">
        <v>48.134696916741376</v>
      </c>
      <c r="AW66" s="175">
        <v>0.3770777277835185</v>
      </c>
      <c r="AX66" s="175">
        <v>924</v>
      </c>
      <c r="AY66" s="175">
        <v>10707</v>
      </c>
      <c r="AZ66" s="175">
        <v>0.08629868310451107</v>
      </c>
      <c r="BA66" s="175">
        <v>0.025114847020276575</v>
      </c>
      <c r="BB66" s="175">
        <v>0</v>
      </c>
      <c r="BC66" s="207">
        <v>8419</v>
      </c>
      <c r="BD66" s="175">
        <v>13196</v>
      </c>
      <c r="BE66" s="175">
        <v>0.6379963625341012</v>
      </c>
      <c r="BF66" s="175">
        <v>0.2290894799430081</v>
      </c>
      <c r="BG66" s="175">
        <v>0</v>
      </c>
      <c r="BH66" s="175">
        <v>0</v>
      </c>
      <c r="BI66" s="207">
        <v>0</v>
      </c>
      <c r="BJ66" s="207">
        <v>-7602.24</v>
      </c>
      <c r="BK66" s="207">
        <v>-129871.59999999999</v>
      </c>
      <c r="BL66" s="207">
        <v>-8869.28</v>
      </c>
      <c r="BM66" s="207">
        <v>0</v>
      </c>
      <c r="BN66" s="207">
        <v>0</v>
      </c>
      <c r="BO66" s="207">
        <v>273558</v>
      </c>
      <c r="BP66" s="207">
        <v>-1322207.6800330873</v>
      </c>
      <c r="BQ66" s="207">
        <v>-1348130.56</v>
      </c>
      <c r="BR66" s="207">
        <v>-235774.60303405012</v>
      </c>
      <c r="BS66" s="207">
        <v>2052330</v>
      </c>
      <c r="BT66" s="207">
        <v>652472</v>
      </c>
      <c r="BU66" s="207">
        <v>1279438.3668590477</v>
      </c>
      <c r="BV66" s="207">
        <v>18609.676418183368</v>
      </c>
      <c r="BW66" s="207">
        <v>58558.191724880795</v>
      </c>
      <c r="BX66" s="207">
        <v>669339.416188655</v>
      </c>
      <c r="BY66" s="207">
        <v>1323883.3820436788</v>
      </c>
      <c r="BZ66" s="207">
        <v>2274364.3120675283</v>
      </c>
      <c r="CA66" s="207">
        <v>569612.1484228717</v>
      </c>
      <c r="CB66" s="207">
        <v>1105365.9695999913</v>
      </c>
      <c r="CC66" s="207">
        <v>2850.8399999999997</v>
      </c>
      <c r="CD66" s="207">
        <v>156482.2637829409</v>
      </c>
      <c r="CE66" s="207">
        <v>1554373.935284482</v>
      </c>
      <c r="CF66" s="207">
        <v>-3216399.8647486055</v>
      </c>
      <c r="CG66" s="207">
        <v>1325898.1945355914</v>
      </c>
      <c r="CH66" s="207">
        <v>1433145.3554190279</v>
      </c>
      <c r="CI66" s="207">
        <v>0</v>
      </c>
      <c r="CJ66" s="207">
        <v>3361191.5517428303</v>
      </c>
      <c r="CK66" s="207">
        <v>-3961098</v>
      </c>
      <c r="CL66" s="207">
        <v>612371.1100000001</v>
      </c>
      <c r="CM66" s="207">
        <v>1514294.2950000002</v>
      </c>
      <c r="CN66" s="207">
        <v>-901923.185</v>
      </c>
      <c r="CO66" s="207">
        <v>31545841.37228164</v>
      </c>
      <c r="CP66" s="207">
        <v>37215305.242948934</v>
      </c>
      <c r="CQ66" s="207">
        <v>31437</v>
      </c>
    </row>
    <row r="67" spans="1:95" ht="11.25">
      <c r="A67" s="207">
        <v>213</v>
      </c>
      <c r="B67" s="207" t="s">
        <v>124</v>
      </c>
      <c r="C67" s="207">
        <v>5452</v>
      </c>
      <c r="D67" s="207">
        <v>20586076.57</v>
      </c>
      <c r="E67" s="207">
        <v>10067012.288563665</v>
      </c>
      <c r="F67" s="207">
        <v>1561197.4618984114</v>
      </c>
      <c r="G67" s="207">
        <v>32214286.320462078</v>
      </c>
      <c r="H67" s="207">
        <v>3664.46</v>
      </c>
      <c r="I67" s="207">
        <v>19978635.92</v>
      </c>
      <c r="J67" s="207">
        <v>12235650.400462076</v>
      </c>
      <c r="K67" s="207">
        <v>824969.3602770511</v>
      </c>
      <c r="L67" s="207">
        <v>-361119.37694907706</v>
      </c>
      <c r="M67" s="207">
        <v>0</v>
      </c>
      <c r="N67" s="207">
        <v>12699500.38379005</v>
      </c>
      <c r="O67" s="207">
        <v>4048572.173493741</v>
      </c>
      <c r="P67" s="207">
        <v>16748072.55728379</v>
      </c>
      <c r="Q67" s="207">
        <v>214</v>
      </c>
      <c r="R67" s="207">
        <v>46</v>
      </c>
      <c r="S67" s="207">
        <v>298</v>
      </c>
      <c r="T67" s="207">
        <v>151</v>
      </c>
      <c r="U67" s="207">
        <v>132</v>
      </c>
      <c r="V67" s="207">
        <v>2634</v>
      </c>
      <c r="W67" s="207">
        <v>1088</v>
      </c>
      <c r="X67" s="207">
        <v>626</v>
      </c>
      <c r="Y67" s="207">
        <v>263</v>
      </c>
      <c r="Z67" s="207">
        <v>7</v>
      </c>
      <c r="AA67" s="207">
        <v>0</v>
      </c>
      <c r="AB67" s="207">
        <v>5371</v>
      </c>
      <c r="AC67" s="207">
        <v>74</v>
      </c>
      <c r="AD67" s="207">
        <v>1977</v>
      </c>
      <c r="AE67" s="481">
        <v>1.5628935719002768</v>
      </c>
      <c r="AF67" s="207">
        <v>10067012.288563665</v>
      </c>
      <c r="AG67" s="207" t="e">
        <v>#DIV/0!</v>
      </c>
      <c r="AH67" s="207" t="e">
        <v>#DIV/0!</v>
      </c>
      <c r="AI67" s="207" t="e">
        <v>#DIV/0!</v>
      </c>
      <c r="AJ67" s="175">
        <v>207</v>
      </c>
      <c r="AK67" s="175">
        <v>2213</v>
      </c>
      <c r="AL67" s="175">
        <v>0.9587672049913883</v>
      </c>
      <c r="AM67" s="175">
        <v>74</v>
      </c>
      <c r="AN67" s="175">
        <v>0.013573000733675716</v>
      </c>
      <c r="AO67" s="175">
        <v>0.01029192162321272</v>
      </c>
      <c r="AP67" s="175">
        <v>0</v>
      </c>
      <c r="AQ67" s="175">
        <v>7</v>
      </c>
      <c r="AR67" s="175">
        <v>0</v>
      </c>
      <c r="AS67" s="175">
        <v>0</v>
      </c>
      <c r="AT67" s="175">
        <v>0</v>
      </c>
      <c r="AU67" s="175">
        <v>1068.84</v>
      </c>
      <c r="AV67" s="175">
        <v>5.100857003854647</v>
      </c>
      <c r="AW67" s="175">
        <v>3.558327968652537</v>
      </c>
      <c r="AX67" s="175">
        <v>201</v>
      </c>
      <c r="AY67" s="175">
        <v>1352</v>
      </c>
      <c r="AZ67" s="175">
        <v>0.14866863905325445</v>
      </c>
      <c r="BA67" s="175">
        <v>0.08748480296901995</v>
      </c>
      <c r="BB67" s="175">
        <v>0.554466</v>
      </c>
      <c r="BC67" s="207">
        <v>1658</v>
      </c>
      <c r="BD67" s="175">
        <v>1870</v>
      </c>
      <c r="BE67" s="175">
        <v>0.8866310160427807</v>
      </c>
      <c r="BF67" s="175">
        <v>0.4777241334516876</v>
      </c>
      <c r="BG67" s="175">
        <v>0</v>
      </c>
      <c r="BH67" s="175">
        <v>0</v>
      </c>
      <c r="BI67" s="207">
        <v>0</v>
      </c>
      <c r="BJ67" s="207">
        <v>-1308.48</v>
      </c>
      <c r="BK67" s="207">
        <v>-22353.199999999997</v>
      </c>
      <c r="BL67" s="207">
        <v>-1526.5600000000002</v>
      </c>
      <c r="BM67" s="207">
        <v>0</v>
      </c>
      <c r="BN67" s="207">
        <v>0</v>
      </c>
      <c r="BO67" s="207">
        <v>138646</v>
      </c>
      <c r="BP67" s="207">
        <v>-233552.7585058459</v>
      </c>
      <c r="BQ67" s="207">
        <v>-232037.12000000002</v>
      </c>
      <c r="BR67" s="207">
        <v>104150.07537831739</v>
      </c>
      <c r="BS67" s="207">
        <v>651314</v>
      </c>
      <c r="BT67" s="207">
        <v>187331</v>
      </c>
      <c r="BU67" s="207">
        <v>420197.3912115596</v>
      </c>
      <c r="BV67" s="207">
        <v>23328.6713788262</v>
      </c>
      <c r="BW67" s="207">
        <v>53778.54215605336</v>
      </c>
      <c r="BX67" s="207">
        <v>224519.7381976081</v>
      </c>
      <c r="BY67" s="207">
        <v>316250.0427699233</v>
      </c>
      <c r="BZ67" s="207">
        <v>487700.4287774703</v>
      </c>
      <c r="CA67" s="207">
        <v>147284.1095061954</v>
      </c>
      <c r="CB67" s="207">
        <v>262226.2418956169</v>
      </c>
      <c r="CC67" s="207">
        <v>490.68</v>
      </c>
      <c r="CD67" s="207">
        <v>-65631.13095753879</v>
      </c>
      <c r="CE67" s="207">
        <v>465992.62155676883</v>
      </c>
      <c r="CF67" s="207">
        <v>-361119.37694907706</v>
      </c>
      <c r="CG67" s="207">
        <v>282939.5171359902</v>
      </c>
      <c r="CH67" s="207">
        <v>359410.9901541703</v>
      </c>
      <c r="CI67" s="207">
        <v>0</v>
      </c>
      <c r="CJ67" s="207">
        <v>4048572.173493741</v>
      </c>
      <c r="CK67" s="207">
        <v>-527443</v>
      </c>
      <c r="CL67" s="207">
        <v>6817</v>
      </c>
      <c r="CM67" s="207">
        <v>197774.804</v>
      </c>
      <c r="CN67" s="207">
        <v>-190957.804</v>
      </c>
      <c r="CO67" s="207">
        <v>16220629.55728379</v>
      </c>
      <c r="CP67" s="207">
        <v>18131889.88205746</v>
      </c>
      <c r="CQ67" s="207">
        <v>5549</v>
      </c>
    </row>
    <row r="68" spans="1:95" ht="11.25">
      <c r="A68" s="207">
        <v>214</v>
      </c>
      <c r="B68" s="207" t="s">
        <v>125</v>
      </c>
      <c r="C68" s="207">
        <v>11471</v>
      </c>
      <c r="D68" s="207">
        <v>39602851.83</v>
      </c>
      <c r="E68" s="207">
        <v>14697790.045105256</v>
      </c>
      <c r="F68" s="207">
        <v>2651841.9774936605</v>
      </c>
      <c r="G68" s="207">
        <v>56952483.85259891</v>
      </c>
      <c r="H68" s="207">
        <v>3664.46</v>
      </c>
      <c r="I68" s="207">
        <v>42035020.660000004</v>
      </c>
      <c r="J68" s="207">
        <v>14917463.19259891</v>
      </c>
      <c r="K68" s="207">
        <v>535802.8568698633</v>
      </c>
      <c r="L68" s="207">
        <v>-412161.22316987906</v>
      </c>
      <c r="M68" s="207">
        <v>0</v>
      </c>
      <c r="N68" s="207">
        <v>15041104.826298892</v>
      </c>
      <c r="O68" s="207">
        <v>7669984.750509807</v>
      </c>
      <c r="P68" s="207">
        <v>22711089.5768087</v>
      </c>
      <c r="Q68" s="207">
        <v>638</v>
      </c>
      <c r="R68" s="207">
        <v>123</v>
      </c>
      <c r="S68" s="207">
        <v>692</v>
      </c>
      <c r="T68" s="207">
        <v>345</v>
      </c>
      <c r="U68" s="207">
        <v>384</v>
      </c>
      <c r="V68" s="207">
        <v>6288</v>
      </c>
      <c r="W68" s="207">
        <v>1744</v>
      </c>
      <c r="X68" s="207">
        <v>923</v>
      </c>
      <c r="Y68" s="207">
        <v>334</v>
      </c>
      <c r="Z68" s="207">
        <v>8</v>
      </c>
      <c r="AA68" s="207">
        <v>0</v>
      </c>
      <c r="AB68" s="207">
        <v>11099</v>
      </c>
      <c r="AC68" s="207">
        <v>364</v>
      </c>
      <c r="AD68" s="207">
        <v>3001</v>
      </c>
      <c r="AE68" s="481">
        <v>1.0845146247632054</v>
      </c>
      <c r="AF68" s="207">
        <v>14697790.045105256</v>
      </c>
      <c r="AG68" s="207" t="e">
        <v>#DIV/0!</v>
      </c>
      <c r="AH68" s="207" t="e">
        <v>#DIV/0!</v>
      </c>
      <c r="AI68" s="207" t="e">
        <v>#DIV/0!</v>
      </c>
      <c r="AJ68" s="175">
        <v>498</v>
      </c>
      <c r="AK68" s="175">
        <v>5135</v>
      </c>
      <c r="AL68" s="175">
        <v>0.9940612248739862</v>
      </c>
      <c r="AM68" s="175">
        <v>364</v>
      </c>
      <c r="AN68" s="175">
        <v>0.03173219422892511</v>
      </c>
      <c r="AO68" s="175">
        <v>0.028451115118462118</v>
      </c>
      <c r="AP68" s="175">
        <v>0</v>
      </c>
      <c r="AQ68" s="175">
        <v>8</v>
      </c>
      <c r="AR68" s="175">
        <v>0</v>
      </c>
      <c r="AS68" s="175">
        <v>0</v>
      </c>
      <c r="AT68" s="175">
        <v>0</v>
      </c>
      <c r="AU68" s="175">
        <v>689.62</v>
      </c>
      <c r="AV68" s="175">
        <v>16.633798323714508</v>
      </c>
      <c r="AW68" s="175">
        <v>1.0911832515749753</v>
      </c>
      <c r="AX68" s="175">
        <v>515</v>
      </c>
      <c r="AY68" s="175">
        <v>3242</v>
      </c>
      <c r="AZ68" s="175">
        <v>0.15885256014805677</v>
      </c>
      <c r="BA68" s="175">
        <v>0.09766872406382227</v>
      </c>
      <c r="BB68" s="175">
        <v>0</v>
      </c>
      <c r="BC68" s="207">
        <v>4964</v>
      </c>
      <c r="BD68" s="175">
        <v>4431</v>
      </c>
      <c r="BE68" s="175">
        <v>1.1202888738433763</v>
      </c>
      <c r="BF68" s="175">
        <v>0.7113819912522832</v>
      </c>
      <c r="BG68" s="175">
        <v>0</v>
      </c>
      <c r="BH68" s="175">
        <v>0</v>
      </c>
      <c r="BI68" s="207">
        <v>0</v>
      </c>
      <c r="BJ68" s="207">
        <v>-2753.04</v>
      </c>
      <c r="BK68" s="207">
        <v>-47031.1</v>
      </c>
      <c r="BL68" s="207">
        <v>-3211.88</v>
      </c>
      <c r="BM68" s="207">
        <v>0</v>
      </c>
      <c r="BN68" s="207">
        <v>0</v>
      </c>
      <c r="BO68" s="207">
        <v>376644</v>
      </c>
      <c r="BP68" s="207">
        <v>-412255.0094083483</v>
      </c>
      <c r="BQ68" s="207">
        <v>-488205.76</v>
      </c>
      <c r="BR68" s="207">
        <v>366490.2791329548</v>
      </c>
      <c r="BS68" s="207">
        <v>1057264</v>
      </c>
      <c r="BT68" s="207">
        <v>346030</v>
      </c>
      <c r="BU68" s="207">
        <v>864422.5563986355</v>
      </c>
      <c r="BV68" s="207">
        <v>42245.25755368333</v>
      </c>
      <c r="BW68" s="207">
        <v>88537.4090538738</v>
      </c>
      <c r="BX68" s="207">
        <v>399714.71127646166</v>
      </c>
      <c r="BY68" s="207">
        <v>641321.649444843</v>
      </c>
      <c r="BZ68" s="207">
        <v>977715.8377379086</v>
      </c>
      <c r="CA68" s="207">
        <v>303463.1997737731</v>
      </c>
      <c r="CB68" s="207">
        <v>541499.894606079</v>
      </c>
      <c r="CC68" s="207">
        <v>1032.3899999999999</v>
      </c>
      <c r="CD68" s="207">
        <v>-6797.615063499135</v>
      </c>
      <c r="CE68" s="207">
        <v>1248941.5562384692</v>
      </c>
      <c r="CF68" s="207">
        <v>-412161.22316987906</v>
      </c>
      <c r="CG68" s="207">
        <v>500216.21216901374</v>
      </c>
      <c r="CH68" s="207">
        <v>762044.0133678408</v>
      </c>
      <c r="CI68" s="207">
        <v>0</v>
      </c>
      <c r="CJ68" s="207">
        <v>7669984.750509807</v>
      </c>
      <c r="CK68" s="207">
        <v>775515</v>
      </c>
      <c r="CL68" s="207">
        <v>448831.28</v>
      </c>
      <c r="CM68" s="207">
        <v>170425.00000000003</v>
      </c>
      <c r="CN68" s="207">
        <v>278406.28</v>
      </c>
      <c r="CO68" s="207">
        <v>23486604.5768087</v>
      </c>
      <c r="CP68" s="207">
        <v>27024755.094770867</v>
      </c>
      <c r="CQ68" s="207">
        <v>11585</v>
      </c>
    </row>
    <row r="69" spans="1:95" ht="11.25">
      <c r="A69" s="207">
        <v>216</v>
      </c>
      <c r="B69" s="207" t="s">
        <v>126</v>
      </c>
      <c r="C69" s="207">
        <v>1353</v>
      </c>
      <c r="D69" s="207">
        <v>5510536.48</v>
      </c>
      <c r="E69" s="207">
        <v>2571534.788230079</v>
      </c>
      <c r="F69" s="207">
        <v>590446.0107814379</v>
      </c>
      <c r="G69" s="207">
        <v>8672517.279011518</v>
      </c>
      <c r="H69" s="207">
        <v>3664.46</v>
      </c>
      <c r="I69" s="207">
        <v>4958014.38</v>
      </c>
      <c r="J69" s="207">
        <v>3714502.899011518</v>
      </c>
      <c r="K69" s="207">
        <v>318084.6612447532</v>
      </c>
      <c r="L69" s="207">
        <v>-27651.324915143632</v>
      </c>
      <c r="M69" s="207">
        <v>0</v>
      </c>
      <c r="N69" s="207">
        <v>4004936.2353411275</v>
      </c>
      <c r="O69" s="207">
        <v>1343157.259893439</v>
      </c>
      <c r="P69" s="207">
        <v>5348093.495234567</v>
      </c>
      <c r="Q69" s="207">
        <v>51</v>
      </c>
      <c r="R69" s="207">
        <v>9</v>
      </c>
      <c r="S69" s="207">
        <v>83</v>
      </c>
      <c r="T69" s="207">
        <v>58</v>
      </c>
      <c r="U69" s="207">
        <v>42</v>
      </c>
      <c r="V69" s="207">
        <v>643</v>
      </c>
      <c r="W69" s="207">
        <v>245</v>
      </c>
      <c r="X69" s="207">
        <v>148</v>
      </c>
      <c r="Y69" s="207">
        <v>74</v>
      </c>
      <c r="Z69" s="207">
        <v>1</v>
      </c>
      <c r="AA69" s="207">
        <v>0</v>
      </c>
      <c r="AB69" s="207">
        <v>1328</v>
      </c>
      <c r="AC69" s="207">
        <v>24</v>
      </c>
      <c r="AD69" s="207">
        <v>467</v>
      </c>
      <c r="AE69" s="481">
        <v>1.6087155533977513</v>
      </c>
      <c r="AF69" s="207">
        <v>2571534.788230079</v>
      </c>
      <c r="AG69" s="207" t="e">
        <v>#DIV/0!</v>
      </c>
      <c r="AH69" s="207" t="e">
        <v>#DIV/0!</v>
      </c>
      <c r="AI69" s="207" t="e">
        <v>#DIV/0!</v>
      </c>
      <c r="AJ69" s="175">
        <v>70</v>
      </c>
      <c r="AK69" s="175">
        <v>551</v>
      </c>
      <c r="AL69" s="175">
        <v>1.3021789782759143</v>
      </c>
      <c r="AM69" s="175">
        <v>24</v>
      </c>
      <c r="AN69" s="175">
        <v>0.017738359201773836</v>
      </c>
      <c r="AO69" s="175">
        <v>0.01445728009131084</v>
      </c>
      <c r="AP69" s="175">
        <v>0</v>
      </c>
      <c r="AQ69" s="175">
        <v>1</v>
      </c>
      <c r="AR69" s="175">
        <v>0</v>
      </c>
      <c r="AS69" s="175">
        <v>0</v>
      </c>
      <c r="AT69" s="175">
        <v>0</v>
      </c>
      <c r="AU69" s="175">
        <v>445.01</v>
      </c>
      <c r="AV69" s="175">
        <v>3.040381115031123</v>
      </c>
      <c r="AW69" s="175">
        <v>5.969818076812839</v>
      </c>
      <c r="AX69" s="175">
        <v>63</v>
      </c>
      <c r="AY69" s="175">
        <v>345</v>
      </c>
      <c r="AZ69" s="175">
        <v>0.1826086956521739</v>
      </c>
      <c r="BA69" s="175">
        <v>0.12142485956793941</v>
      </c>
      <c r="BB69" s="175">
        <v>0.94145</v>
      </c>
      <c r="BC69" s="207">
        <v>387</v>
      </c>
      <c r="BD69" s="175">
        <v>436</v>
      </c>
      <c r="BE69" s="175">
        <v>0.8876146788990825</v>
      </c>
      <c r="BF69" s="175">
        <v>0.47870779630798943</v>
      </c>
      <c r="BG69" s="175">
        <v>0</v>
      </c>
      <c r="BH69" s="175">
        <v>0</v>
      </c>
      <c r="BI69" s="207">
        <v>0</v>
      </c>
      <c r="BJ69" s="207">
        <v>-324.71999999999997</v>
      </c>
      <c r="BK69" s="207">
        <v>-5547.299999999999</v>
      </c>
      <c r="BL69" s="207">
        <v>-378.84000000000003</v>
      </c>
      <c r="BM69" s="207">
        <v>0</v>
      </c>
      <c r="BN69" s="207">
        <v>0</v>
      </c>
      <c r="BO69" s="207">
        <v>12874</v>
      </c>
      <c r="BP69" s="207">
        <v>-28881.009839300626</v>
      </c>
      <c r="BQ69" s="207">
        <v>-57583.68</v>
      </c>
      <c r="BR69" s="207">
        <v>53822.27823724039</v>
      </c>
      <c r="BS69" s="207">
        <v>158615</v>
      </c>
      <c r="BT69" s="207">
        <v>47512</v>
      </c>
      <c r="BU69" s="207">
        <v>119051.56090819609</v>
      </c>
      <c r="BV69" s="207">
        <v>7616.3543238918255</v>
      </c>
      <c r="BW69" s="207">
        <v>21503.490366428287</v>
      </c>
      <c r="BX69" s="207">
        <v>69878.34002194715</v>
      </c>
      <c r="BY69" s="207">
        <v>85699.80887111144</v>
      </c>
      <c r="BZ69" s="207">
        <v>125186.9110305073</v>
      </c>
      <c r="CA69" s="207">
        <v>40962.804342577336</v>
      </c>
      <c r="CB69" s="207">
        <v>73882.99939650185</v>
      </c>
      <c r="CC69" s="207">
        <v>121.77</v>
      </c>
      <c r="CD69" s="207">
        <v>4202.1696548657055</v>
      </c>
      <c r="CE69" s="207">
        <v>148530.794924157</v>
      </c>
      <c r="CF69" s="207">
        <v>-27651.324915143632</v>
      </c>
      <c r="CG69" s="207">
        <v>76171.1070320509</v>
      </c>
      <c r="CH69" s="207">
        <v>102181.55373255887</v>
      </c>
      <c r="CI69" s="207">
        <v>0</v>
      </c>
      <c r="CJ69" s="207">
        <v>1343157.259893439</v>
      </c>
      <c r="CK69" s="207">
        <v>-288219</v>
      </c>
      <c r="CL69" s="207">
        <v>64147.97</v>
      </c>
      <c r="CM69" s="207">
        <v>68170</v>
      </c>
      <c r="CN69" s="207">
        <v>-4022.029999999999</v>
      </c>
      <c r="CO69" s="207">
        <v>5059874.495234567</v>
      </c>
      <c r="CP69" s="207">
        <v>5668675.536999847</v>
      </c>
      <c r="CQ69" s="207">
        <v>1408</v>
      </c>
    </row>
    <row r="70" spans="1:95" ht="11.25">
      <c r="A70" s="207">
        <v>217</v>
      </c>
      <c r="B70" s="207" t="s">
        <v>127</v>
      </c>
      <c r="C70" s="207">
        <v>5502</v>
      </c>
      <c r="D70" s="207">
        <v>20650208.85</v>
      </c>
      <c r="E70" s="207">
        <v>6944193.370634717</v>
      </c>
      <c r="F70" s="207">
        <v>1092500.660344146</v>
      </c>
      <c r="G70" s="207">
        <v>28686902.880978864</v>
      </c>
      <c r="H70" s="207">
        <v>3664.46</v>
      </c>
      <c r="I70" s="207">
        <v>20161858.92</v>
      </c>
      <c r="J70" s="207">
        <v>8525043.960978862</v>
      </c>
      <c r="K70" s="207">
        <v>210046.22177175834</v>
      </c>
      <c r="L70" s="207">
        <v>-526587.8199156715</v>
      </c>
      <c r="M70" s="207">
        <v>0</v>
      </c>
      <c r="N70" s="207">
        <v>8208502.362834948</v>
      </c>
      <c r="O70" s="207">
        <v>4361455.525235281</v>
      </c>
      <c r="P70" s="207">
        <v>12569957.88807023</v>
      </c>
      <c r="Q70" s="207">
        <v>398</v>
      </c>
      <c r="R70" s="207">
        <v>81</v>
      </c>
      <c r="S70" s="207">
        <v>395</v>
      </c>
      <c r="T70" s="207">
        <v>223</v>
      </c>
      <c r="U70" s="207">
        <v>229</v>
      </c>
      <c r="V70" s="207">
        <v>2917</v>
      </c>
      <c r="W70" s="207">
        <v>732</v>
      </c>
      <c r="X70" s="207">
        <v>367</v>
      </c>
      <c r="Y70" s="207">
        <v>160</v>
      </c>
      <c r="Z70" s="207">
        <v>23</v>
      </c>
      <c r="AA70" s="207">
        <v>0</v>
      </c>
      <c r="AB70" s="207">
        <v>5391</v>
      </c>
      <c r="AC70" s="207">
        <v>88</v>
      </c>
      <c r="AD70" s="207">
        <v>1259</v>
      </c>
      <c r="AE70" s="481">
        <v>1.068281907412031</v>
      </c>
      <c r="AF70" s="207">
        <v>6944193.370634717</v>
      </c>
      <c r="AG70" s="207" t="e">
        <v>#DIV/0!</v>
      </c>
      <c r="AH70" s="207" t="e">
        <v>#DIV/0!</v>
      </c>
      <c r="AI70" s="207" t="e">
        <v>#DIV/0!</v>
      </c>
      <c r="AJ70" s="175">
        <v>184</v>
      </c>
      <c r="AK70" s="175">
        <v>2480</v>
      </c>
      <c r="AL70" s="175">
        <v>0.7604845249627032</v>
      </c>
      <c r="AM70" s="175">
        <v>88</v>
      </c>
      <c r="AN70" s="175">
        <v>0.01599418393311523</v>
      </c>
      <c r="AO70" s="175">
        <v>0.012713104822652234</v>
      </c>
      <c r="AP70" s="175">
        <v>0</v>
      </c>
      <c r="AQ70" s="175">
        <v>23</v>
      </c>
      <c r="AR70" s="175">
        <v>0</v>
      </c>
      <c r="AS70" s="175">
        <v>0</v>
      </c>
      <c r="AT70" s="175">
        <v>0</v>
      </c>
      <c r="AU70" s="175">
        <v>468.33</v>
      </c>
      <c r="AV70" s="175">
        <v>11.748126321183781</v>
      </c>
      <c r="AW70" s="175">
        <v>1.5449716528996484</v>
      </c>
      <c r="AX70" s="175">
        <v>250</v>
      </c>
      <c r="AY70" s="175">
        <v>1527</v>
      </c>
      <c r="AZ70" s="175">
        <v>0.16371971185330714</v>
      </c>
      <c r="BA70" s="175">
        <v>0.10253587576907264</v>
      </c>
      <c r="BB70" s="175">
        <v>0</v>
      </c>
      <c r="BC70" s="207">
        <v>2151</v>
      </c>
      <c r="BD70" s="175">
        <v>2172</v>
      </c>
      <c r="BE70" s="175">
        <v>0.9903314917127072</v>
      </c>
      <c r="BF70" s="175">
        <v>0.5814246091216141</v>
      </c>
      <c r="BG70" s="175">
        <v>0</v>
      </c>
      <c r="BH70" s="175">
        <v>0</v>
      </c>
      <c r="BI70" s="207">
        <v>0</v>
      </c>
      <c r="BJ70" s="207">
        <v>-1320.48</v>
      </c>
      <c r="BK70" s="207">
        <v>-22558.199999999997</v>
      </c>
      <c r="BL70" s="207">
        <v>-1540.5600000000002</v>
      </c>
      <c r="BM70" s="207">
        <v>0</v>
      </c>
      <c r="BN70" s="207">
        <v>0</v>
      </c>
      <c r="BO70" s="207">
        <v>-39125</v>
      </c>
      <c r="BP70" s="207">
        <v>-93118.81252369279</v>
      </c>
      <c r="BQ70" s="207">
        <v>-234165.12000000002</v>
      </c>
      <c r="BR70" s="207">
        <v>-29314.746329082176</v>
      </c>
      <c r="BS70" s="207">
        <v>472563</v>
      </c>
      <c r="BT70" s="207">
        <v>155789</v>
      </c>
      <c r="BU70" s="207">
        <v>373453.802525867</v>
      </c>
      <c r="BV70" s="207">
        <v>18040.573836712447</v>
      </c>
      <c r="BW70" s="207">
        <v>72786.55766004905</v>
      </c>
      <c r="BX70" s="207">
        <v>176020.8346108859</v>
      </c>
      <c r="BY70" s="207">
        <v>301129.87290488865</v>
      </c>
      <c r="BZ70" s="207">
        <v>492919.3720727344</v>
      </c>
      <c r="CA70" s="207">
        <v>137422.61225023714</v>
      </c>
      <c r="CB70" s="207">
        <v>254096.82971160897</v>
      </c>
      <c r="CC70" s="207">
        <v>495.18</v>
      </c>
      <c r="CD70" s="207">
        <v>-23927.031731544248</v>
      </c>
      <c r="CE70" s="207">
        <v>165533.73260802135</v>
      </c>
      <c r="CF70" s="207">
        <v>-526587.8199156715</v>
      </c>
      <c r="CG70" s="207">
        <v>251958.35066864776</v>
      </c>
      <c r="CH70" s="207">
        <v>344617.7259221224</v>
      </c>
      <c r="CI70" s="207">
        <v>0</v>
      </c>
      <c r="CJ70" s="207">
        <v>4361455.525235281</v>
      </c>
      <c r="CK70" s="207">
        <v>-66816</v>
      </c>
      <c r="CL70" s="207">
        <v>31358.2</v>
      </c>
      <c r="CM70" s="207">
        <v>57467.31</v>
      </c>
      <c r="CN70" s="207">
        <v>-26109.109999999997</v>
      </c>
      <c r="CO70" s="207">
        <v>12503141.88807023</v>
      </c>
      <c r="CP70" s="207">
        <v>13451016.490133042</v>
      </c>
      <c r="CQ70" s="207">
        <v>5520</v>
      </c>
    </row>
    <row r="71" spans="1:95" ht="11.25">
      <c r="A71" s="207">
        <v>218</v>
      </c>
      <c r="B71" s="207" t="s">
        <v>128</v>
      </c>
      <c r="C71" s="207">
        <v>1274</v>
      </c>
      <c r="D71" s="207">
        <v>5121726.92</v>
      </c>
      <c r="E71" s="207">
        <v>2573116.504333641</v>
      </c>
      <c r="F71" s="207">
        <v>284093.2826693515</v>
      </c>
      <c r="G71" s="207">
        <v>7978936.707002993</v>
      </c>
      <c r="H71" s="207">
        <v>3664.46</v>
      </c>
      <c r="I71" s="207">
        <v>4668522.04</v>
      </c>
      <c r="J71" s="207">
        <v>3310414.6670029927</v>
      </c>
      <c r="K71" s="207">
        <v>47629.45198347369</v>
      </c>
      <c r="L71" s="207">
        <v>-18088.427338905138</v>
      </c>
      <c r="M71" s="207">
        <v>0</v>
      </c>
      <c r="N71" s="207">
        <v>3339955.6916475613</v>
      </c>
      <c r="O71" s="207">
        <v>1295935.5663371088</v>
      </c>
      <c r="P71" s="207">
        <v>4635891.25798467</v>
      </c>
      <c r="Q71" s="207">
        <v>53</v>
      </c>
      <c r="R71" s="207">
        <v>14</v>
      </c>
      <c r="S71" s="207">
        <v>50</v>
      </c>
      <c r="T71" s="207">
        <v>35</v>
      </c>
      <c r="U71" s="207">
        <v>26</v>
      </c>
      <c r="V71" s="207">
        <v>655</v>
      </c>
      <c r="W71" s="207">
        <v>212</v>
      </c>
      <c r="X71" s="207">
        <v>142</v>
      </c>
      <c r="Y71" s="207">
        <v>87</v>
      </c>
      <c r="Z71" s="207">
        <v>22</v>
      </c>
      <c r="AA71" s="207">
        <v>0</v>
      </c>
      <c r="AB71" s="207">
        <v>1245</v>
      </c>
      <c r="AC71" s="207">
        <v>7</v>
      </c>
      <c r="AD71" s="207">
        <v>441</v>
      </c>
      <c r="AE71" s="481">
        <v>1.7095219277841347</v>
      </c>
      <c r="AF71" s="207">
        <v>2573116.504333641</v>
      </c>
      <c r="AG71" s="207" t="e">
        <v>#DIV/0!</v>
      </c>
      <c r="AH71" s="207" t="e">
        <v>#DIV/0!</v>
      </c>
      <c r="AI71" s="207" t="e">
        <v>#DIV/0!</v>
      </c>
      <c r="AJ71" s="175">
        <v>42</v>
      </c>
      <c r="AK71" s="175">
        <v>605</v>
      </c>
      <c r="AL71" s="175">
        <v>0.7115708598644914</v>
      </c>
      <c r="AM71" s="175">
        <v>7</v>
      </c>
      <c r="AN71" s="175">
        <v>0.005494505494505495</v>
      </c>
      <c r="AO71" s="175">
        <v>0.0022134263840424984</v>
      </c>
      <c r="AP71" s="175">
        <v>0</v>
      </c>
      <c r="AQ71" s="175">
        <v>22</v>
      </c>
      <c r="AR71" s="175">
        <v>0</v>
      </c>
      <c r="AS71" s="175">
        <v>0</v>
      </c>
      <c r="AT71" s="175">
        <v>0</v>
      </c>
      <c r="AU71" s="175">
        <v>185.72</v>
      </c>
      <c r="AV71" s="175">
        <v>6.859788929571398</v>
      </c>
      <c r="AW71" s="175">
        <v>2.6459301193174207</v>
      </c>
      <c r="AX71" s="175">
        <v>58</v>
      </c>
      <c r="AY71" s="175">
        <v>326</v>
      </c>
      <c r="AZ71" s="175">
        <v>0.17791411042944785</v>
      </c>
      <c r="BA71" s="175">
        <v>0.11673027434521335</v>
      </c>
      <c r="BB71" s="175">
        <v>0.0557</v>
      </c>
      <c r="BC71" s="207">
        <v>426</v>
      </c>
      <c r="BD71" s="175">
        <v>536</v>
      </c>
      <c r="BE71" s="175">
        <v>0.7947761194029851</v>
      </c>
      <c r="BF71" s="175">
        <v>0.385869236811892</v>
      </c>
      <c r="BG71" s="175">
        <v>0</v>
      </c>
      <c r="BH71" s="175">
        <v>0</v>
      </c>
      <c r="BI71" s="207">
        <v>0</v>
      </c>
      <c r="BJ71" s="207">
        <v>-305.76</v>
      </c>
      <c r="BK71" s="207">
        <v>-5223.4</v>
      </c>
      <c r="BL71" s="207">
        <v>-356.72</v>
      </c>
      <c r="BM71" s="207">
        <v>0</v>
      </c>
      <c r="BN71" s="207">
        <v>0</v>
      </c>
      <c r="BO71" s="207">
        <v>-17238</v>
      </c>
      <c r="BP71" s="207">
        <v>-17848.020019640855</v>
      </c>
      <c r="BQ71" s="207">
        <v>-54221.44</v>
      </c>
      <c r="BR71" s="207">
        <v>87483.34700512048</v>
      </c>
      <c r="BS71" s="207">
        <v>162602</v>
      </c>
      <c r="BT71" s="207">
        <v>51113</v>
      </c>
      <c r="BU71" s="207">
        <v>118966.60017293353</v>
      </c>
      <c r="BV71" s="207">
        <v>8090.23369131995</v>
      </c>
      <c r="BW71" s="207">
        <v>21888.878572067195</v>
      </c>
      <c r="BX71" s="207">
        <v>65271.60570674855</v>
      </c>
      <c r="BY71" s="207">
        <v>96252.52713104039</v>
      </c>
      <c r="BZ71" s="207">
        <v>159066.5523161456</v>
      </c>
      <c r="CA71" s="207">
        <v>50378.74084016659</v>
      </c>
      <c r="CB71" s="207">
        <v>77954.38721156617</v>
      </c>
      <c r="CC71" s="207">
        <v>114.66</v>
      </c>
      <c r="CD71" s="207">
        <v>-3240.6521807183854</v>
      </c>
      <c r="CE71" s="207">
        <v>138459.97268073572</v>
      </c>
      <c r="CF71" s="207">
        <v>-18088.427338905138</v>
      </c>
      <c r="CG71" s="207">
        <v>70079.35785633362</v>
      </c>
      <c r="CH71" s="207">
        <v>113821.68680093084</v>
      </c>
      <c r="CI71" s="207">
        <v>0</v>
      </c>
      <c r="CJ71" s="207">
        <v>1295935.5663371088</v>
      </c>
      <c r="CK71" s="207">
        <v>-300273</v>
      </c>
      <c r="CL71" s="207">
        <v>20451</v>
      </c>
      <c r="CM71" s="207">
        <v>464919.4</v>
      </c>
      <c r="CN71" s="207">
        <v>-444468.4</v>
      </c>
      <c r="CO71" s="207">
        <v>4335618.25798467</v>
      </c>
      <c r="CP71" s="207">
        <v>4790665.372735388</v>
      </c>
      <c r="CQ71" s="207">
        <v>1329</v>
      </c>
    </row>
    <row r="72" spans="1:95" ht="11.25">
      <c r="A72" s="207">
        <v>224</v>
      </c>
      <c r="B72" s="207" t="s">
        <v>129</v>
      </c>
      <c r="C72" s="207">
        <v>8778</v>
      </c>
      <c r="D72" s="207">
        <v>31868677.49</v>
      </c>
      <c r="E72" s="207">
        <v>10476643.043149147</v>
      </c>
      <c r="F72" s="207">
        <v>2501339.265425948</v>
      </c>
      <c r="G72" s="207">
        <v>44846659.798575096</v>
      </c>
      <c r="H72" s="207">
        <v>3664.46</v>
      </c>
      <c r="I72" s="207">
        <v>32166629.88</v>
      </c>
      <c r="J72" s="207">
        <v>12680029.918575097</v>
      </c>
      <c r="K72" s="207">
        <v>226864.80733031678</v>
      </c>
      <c r="L72" s="207">
        <v>-1266760.9203313035</v>
      </c>
      <c r="M72" s="207">
        <v>0</v>
      </c>
      <c r="N72" s="207">
        <v>11640133.80557411</v>
      </c>
      <c r="O72" s="207">
        <v>4802068.180287508</v>
      </c>
      <c r="P72" s="207">
        <v>16442201.985861618</v>
      </c>
      <c r="Q72" s="207">
        <v>458</v>
      </c>
      <c r="R72" s="207">
        <v>83</v>
      </c>
      <c r="S72" s="207">
        <v>641</v>
      </c>
      <c r="T72" s="207">
        <v>331</v>
      </c>
      <c r="U72" s="207">
        <v>300</v>
      </c>
      <c r="V72" s="207">
        <v>4737</v>
      </c>
      <c r="W72" s="207">
        <v>1320</v>
      </c>
      <c r="X72" s="207">
        <v>610</v>
      </c>
      <c r="Y72" s="207">
        <v>298</v>
      </c>
      <c r="Z72" s="207">
        <v>72</v>
      </c>
      <c r="AA72" s="207">
        <v>0</v>
      </c>
      <c r="AB72" s="207">
        <v>8180</v>
      </c>
      <c r="AC72" s="207">
        <v>526</v>
      </c>
      <c r="AD72" s="207">
        <v>2228</v>
      </c>
      <c r="AE72" s="481">
        <v>1.0102089779781256</v>
      </c>
      <c r="AF72" s="207">
        <v>10476643.043149147</v>
      </c>
      <c r="AG72" s="207" t="e">
        <v>#DIV/0!</v>
      </c>
      <c r="AH72" s="207" t="e">
        <v>#DIV/0!</v>
      </c>
      <c r="AI72" s="207" t="e">
        <v>#DIV/0!</v>
      </c>
      <c r="AJ72" s="175">
        <v>373</v>
      </c>
      <c r="AK72" s="175">
        <v>4053</v>
      </c>
      <c r="AL72" s="175">
        <v>0.943314406091434</v>
      </c>
      <c r="AM72" s="175">
        <v>526</v>
      </c>
      <c r="AN72" s="175">
        <v>0.059922533606744134</v>
      </c>
      <c r="AO72" s="175">
        <v>0.056641454496281135</v>
      </c>
      <c r="AP72" s="175">
        <v>0</v>
      </c>
      <c r="AQ72" s="175">
        <v>72</v>
      </c>
      <c r="AR72" s="175">
        <v>0</v>
      </c>
      <c r="AS72" s="175">
        <v>0</v>
      </c>
      <c r="AT72" s="175">
        <v>0</v>
      </c>
      <c r="AU72" s="175">
        <v>242.36</v>
      </c>
      <c r="AV72" s="175">
        <v>36.2188479947186</v>
      </c>
      <c r="AW72" s="175">
        <v>0.5011347170279923</v>
      </c>
      <c r="AX72" s="175">
        <v>624</v>
      </c>
      <c r="AY72" s="175">
        <v>2801</v>
      </c>
      <c r="AZ72" s="175">
        <v>0.22277757943591575</v>
      </c>
      <c r="BA72" s="175">
        <v>0.16159374335168125</v>
      </c>
      <c r="BB72" s="175">
        <v>0</v>
      </c>
      <c r="BC72" s="207">
        <v>2865</v>
      </c>
      <c r="BD72" s="175">
        <v>3570</v>
      </c>
      <c r="BE72" s="175">
        <v>0.8025210084033614</v>
      </c>
      <c r="BF72" s="175">
        <v>0.3936141258122683</v>
      </c>
      <c r="BG72" s="175">
        <v>0</v>
      </c>
      <c r="BH72" s="175">
        <v>0</v>
      </c>
      <c r="BI72" s="207">
        <v>0</v>
      </c>
      <c r="BJ72" s="207">
        <v>-2106.72</v>
      </c>
      <c r="BK72" s="207">
        <v>-35989.799999999996</v>
      </c>
      <c r="BL72" s="207">
        <v>-2457.84</v>
      </c>
      <c r="BM72" s="207">
        <v>0</v>
      </c>
      <c r="BN72" s="207">
        <v>0</v>
      </c>
      <c r="BO72" s="207">
        <v>-176375</v>
      </c>
      <c r="BP72" s="207">
        <v>-561323.4439813623</v>
      </c>
      <c r="BQ72" s="207">
        <v>-373591.68</v>
      </c>
      <c r="BR72" s="207">
        <v>-10497.994075188413</v>
      </c>
      <c r="BS72" s="207">
        <v>685735</v>
      </c>
      <c r="BT72" s="207">
        <v>228313</v>
      </c>
      <c r="BU72" s="207">
        <v>466962.71765660605</v>
      </c>
      <c r="BV72" s="207">
        <v>11345.00072373815</v>
      </c>
      <c r="BW72" s="207">
        <v>67552.37743129855</v>
      </c>
      <c r="BX72" s="207">
        <v>178336.21752535802</v>
      </c>
      <c r="BY72" s="207">
        <v>429863.58683494903</v>
      </c>
      <c r="BZ72" s="207">
        <v>726820.3431030754</v>
      </c>
      <c r="CA72" s="207">
        <v>196777.54589011226</v>
      </c>
      <c r="CB72" s="207">
        <v>363343.8147733445</v>
      </c>
      <c r="CC72" s="207">
        <v>790.02</v>
      </c>
      <c r="CD72" s="207">
        <v>33725.91950516996</v>
      </c>
      <c r="CE72" s="207">
        <v>250223.38365005888</v>
      </c>
      <c r="CF72" s="207">
        <v>-1266760.9203313035</v>
      </c>
      <c r="CG72" s="207">
        <v>393890.21822007734</v>
      </c>
      <c r="CH72" s="207">
        <v>492039.7996115714</v>
      </c>
      <c r="CI72" s="207">
        <v>0</v>
      </c>
      <c r="CJ72" s="207">
        <v>4802068.180287508</v>
      </c>
      <c r="CK72" s="207">
        <v>-631427</v>
      </c>
      <c r="CL72" s="207">
        <v>186990.31000000006</v>
      </c>
      <c r="CM72" s="207">
        <v>92056.768</v>
      </c>
      <c r="CN72" s="207">
        <v>94933.54200000006</v>
      </c>
      <c r="CO72" s="207">
        <v>15810774.985861618</v>
      </c>
      <c r="CP72" s="207">
        <v>17684510.5101157</v>
      </c>
      <c r="CQ72" s="207">
        <v>8900</v>
      </c>
    </row>
    <row r="73" spans="1:95" ht="11.25">
      <c r="A73" s="207">
        <v>226</v>
      </c>
      <c r="B73" s="207" t="s">
        <v>130</v>
      </c>
      <c r="C73" s="207">
        <v>4031</v>
      </c>
      <c r="D73" s="207">
        <v>15318642.579999998</v>
      </c>
      <c r="E73" s="207">
        <v>6393219.287219231</v>
      </c>
      <c r="F73" s="207">
        <v>1312426.1736989033</v>
      </c>
      <c r="G73" s="207">
        <v>23024288.04091813</v>
      </c>
      <c r="H73" s="207">
        <v>3664.46</v>
      </c>
      <c r="I73" s="207">
        <v>14771438.26</v>
      </c>
      <c r="J73" s="207">
        <v>8252849.780918131</v>
      </c>
      <c r="K73" s="207">
        <v>989709.6105527037</v>
      </c>
      <c r="L73" s="207">
        <v>-232947.39100249455</v>
      </c>
      <c r="M73" s="207">
        <v>0</v>
      </c>
      <c r="N73" s="207">
        <v>9009612.00046834</v>
      </c>
      <c r="O73" s="207">
        <v>3979837.07171264</v>
      </c>
      <c r="P73" s="207">
        <v>12989449.072180979</v>
      </c>
      <c r="Q73" s="207">
        <v>158</v>
      </c>
      <c r="R73" s="207">
        <v>36</v>
      </c>
      <c r="S73" s="207">
        <v>241</v>
      </c>
      <c r="T73" s="207">
        <v>145</v>
      </c>
      <c r="U73" s="207">
        <v>141</v>
      </c>
      <c r="V73" s="207">
        <v>1978</v>
      </c>
      <c r="W73" s="207">
        <v>723</v>
      </c>
      <c r="X73" s="207">
        <v>435</v>
      </c>
      <c r="Y73" s="207">
        <v>174</v>
      </c>
      <c r="Z73" s="207">
        <v>1</v>
      </c>
      <c r="AA73" s="207">
        <v>0</v>
      </c>
      <c r="AB73" s="207">
        <v>3987</v>
      </c>
      <c r="AC73" s="207">
        <v>43</v>
      </c>
      <c r="AD73" s="207">
        <v>1332</v>
      </c>
      <c r="AE73" s="481">
        <v>1.3424294039991602</v>
      </c>
      <c r="AF73" s="207">
        <v>6393219.287219231</v>
      </c>
      <c r="AG73" s="207" t="e">
        <v>#DIV/0!</v>
      </c>
      <c r="AH73" s="207" t="e">
        <v>#DIV/0!</v>
      </c>
      <c r="AI73" s="207" t="e">
        <v>#DIV/0!</v>
      </c>
      <c r="AJ73" s="175">
        <v>227</v>
      </c>
      <c r="AK73" s="175">
        <v>1733</v>
      </c>
      <c r="AL73" s="175">
        <v>1.3426151188345277</v>
      </c>
      <c r="AM73" s="175">
        <v>43</v>
      </c>
      <c r="AN73" s="175">
        <v>0.010667328206400397</v>
      </c>
      <c r="AO73" s="175">
        <v>0.0073862490959374005</v>
      </c>
      <c r="AP73" s="175">
        <v>0</v>
      </c>
      <c r="AQ73" s="175">
        <v>1</v>
      </c>
      <c r="AR73" s="175">
        <v>0</v>
      </c>
      <c r="AS73" s="175">
        <v>0</v>
      </c>
      <c r="AT73" s="175">
        <v>0</v>
      </c>
      <c r="AU73" s="175">
        <v>887.07</v>
      </c>
      <c r="AV73" s="175">
        <v>4.544173515055181</v>
      </c>
      <c r="AW73" s="175">
        <v>3.9942405545869133</v>
      </c>
      <c r="AX73" s="175">
        <v>142</v>
      </c>
      <c r="AY73" s="175">
        <v>1094</v>
      </c>
      <c r="AZ73" s="175">
        <v>0.12979890310786105</v>
      </c>
      <c r="BA73" s="175">
        <v>0.06861506702362655</v>
      </c>
      <c r="BB73" s="175">
        <v>0.953816</v>
      </c>
      <c r="BC73" s="207">
        <v>1411</v>
      </c>
      <c r="BD73" s="175">
        <v>1403</v>
      </c>
      <c r="BE73" s="175">
        <v>1.0057020669992873</v>
      </c>
      <c r="BF73" s="175">
        <v>0.5967951844081942</v>
      </c>
      <c r="BG73" s="175">
        <v>0</v>
      </c>
      <c r="BH73" s="175">
        <v>0</v>
      </c>
      <c r="BI73" s="207">
        <v>0</v>
      </c>
      <c r="BJ73" s="207">
        <v>-967.4399999999999</v>
      </c>
      <c r="BK73" s="207">
        <v>-16527.1</v>
      </c>
      <c r="BL73" s="207">
        <v>-1128.68</v>
      </c>
      <c r="BM73" s="207">
        <v>0</v>
      </c>
      <c r="BN73" s="207">
        <v>0</v>
      </c>
      <c r="BO73" s="207">
        <v>77843</v>
      </c>
      <c r="BP73" s="207">
        <v>-103847.67368914996</v>
      </c>
      <c r="BQ73" s="207">
        <v>-171559.36000000002</v>
      </c>
      <c r="BR73" s="207">
        <v>29320.945028565824</v>
      </c>
      <c r="BS73" s="207">
        <v>418140</v>
      </c>
      <c r="BT73" s="207">
        <v>130108</v>
      </c>
      <c r="BU73" s="207">
        <v>326875.1375349644</v>
      </c>
      <c r="BV73" s="207">
        <v>18659.542831763487</v>
      </c>
      <c r="BW73" s="207">
        <v>35891.78501852707</v>
      </c>
      <c r="BX73" s="207">
        <v>158948.51525087937</v>
      </c>
      <c r="BY73" s="207">
        <v>230569.23956807284</v>
      </c>
      <c r="BZ73" s="207">
        <v>370414.3147754081</v>
      </c>
      <c r="CA73" s="207">
        <v>114099.50544567108</v>
      </c>
      <c r="CB73" s="207">
        <v>203734.1396641163</v>
      </c>
      <c r="CC73" s="207">
        <v>362.78999999999996</v>
      </c>
      <c r="CD73" s="207">
        <v>-3985.5236802705986</v>
      </c>
      <c r="CE73" s="207">
        <v>309755.2526866553</v>
      </c>
      <c r="CF73" s="207">
        <v>-232947.39100249455</v>
      </c>
      <c r="CG73" s="207">
        <v>202223.35133836008</v>
      </c>
      <c r="CH73" s="207">
        <v>290439.78631440486</v>
      </c>
      <c r="CI73" s="207">
        <v>0</v>
      </c>
      <c r="CJ73" s="207">
        <v>3979837.07171264</v>
      </c>
      <c r="CK73" s="207">
        <v>54125</v>
      </c>
      <c r="CL73" s="207">
        <v>192239.40000000002</v>
      </c>
      <c r="CM73" s="207">
        <v>66806.6</v>
      </c>
      <c r="CN73" s="207">
        <v>125432.80000000002</v>
      </c>
      <c r="CO73" s="207">
        <v>13043574.072180979</v>
      </c>
      <c r="CP73" s="207">
        <v>14427552.114422297</v>
      </c>
      <c r="CQ73" s="207">
        <v>4146</v>
      </c>
    </row>
    <row r="74" spans="1:95" ht="11.25">
      <c r="A74" s="207">
        <v>230</v>
      </c>
      <c r="B74" s="207" t="s">
        <v>131</v>
      </c>
      <c r="C74" s="207">
        <v>2390</v>
      </c>
      <c r="D74" s="207">
        <v>8981514.34</v>
      </c>
      <c r="E74" s="207">
        <v>3181010.280554944</v>
      </c>
      <c r="F74" s="207">
        <v>859823.1750669626</v>
      </c>
      <c r="G74" s="207">
        <v>13022347.795621907</v>
      </c>
      <c r="H74" s="207">
        <v>3664.46</v>
      </c>
      <c r="I74" s="207">
        <v>8758059.4</v>
      </c>
      <c r="J74" s="207">
        <v>4264288.395621907</v>
      </c>
      <c r="K74" s="207">
        <v>365167.1494294042</v>
      </c>
      <c r="L74" s="207">
        <v>-40312.311897130945</v>
      </c>
      <c r="M74" s="207">
        <v>0</v>
      </c>
      <c r="N74" s="207">
        <v>4589143.23315418</v>
      </c>
      <c r="O74" s="207">
        <v>2617536.8901661397</v>
      </c>
      <c r="P74" s="207">
        <v>7206680.123320321</v>
      </c>
      <c r="Q74" s="207">
        <v>118</v>
      </c>
      <c r="R74" s="207">
        <v>22</v>
      </c>
      <c r="S74" s="207">
        <v>104</v>
      </c>
      <c r="T74" s="207">
        <v>71</v>
      </c>
      <c r="U74" s="207">
        <v>67</v>
      </c>
      <c r="V74" s="207">
        <v>1222</v>
      </c>
      <c r="W74" s="207">
        <v>426</v>
      </c>
      <c r="X74" s="207">
        <v>242</v>
      </c>
      <c r="Y74" s="207">
        <v>118</v>
      </c>
      <c r="Z74" s="207">
        <v>2</v>
      </c>
      <c r="AA74" s="207">
        <v>0</v>
      </c>
      <c r="AB74" s="207">
        <v>2323</v>
      </c>
      <c r="AC74" s="207">
        <v>65</v>
      </c>
      <c r="AD74" s="207">
        <v>786</v>
      </c>
      <c r="AE74" s="481">
        <v>1.1265535101643394</v>
      </c>
      <c r="AF74" s="207">
        <v>3181010.280554944</v>
      </c>
      <c r="AG74" s="207" t="e">
        <v>#DIV/0!</v>
      </c>
      <c r="AH74" s="207" t="e">
        <v>#DIV/0!</v>
      </c>
      <c r="AI74" s="207" t="e">
        <v>#DIV/0!</v>
      </c>
      <c r="AJ74" s="175">
        <v>106</v>
      </c>
      <c r="AK74" s="175">
        <v>1025</v>
      </c>
      <c r="AL74" s="175">
        <v>1.0600009115704954</v>
      </c>
      <c r="AM74" s="175">
        <v>65</v>
      </c>
      <c r="AN74" s="175">
        <v>0.027196652719665274</v>
      </c>
      <c r="AO74" s="175">
        <v>0.023915573609202278</v>
      </c>
      <c r="AP74" s="175">
        <v>0</v>
      </c>
      <c r="AQ74" s="175">
        <v>2</v>
      </c>
      <c r="AR74" s="175">
        <v>0</v>
      </c>
      <c r="AS74" s="175">
        <v>0</v>
      </c>
      <c r="AT74" s="175">
        <v>0</v>
      </c>
      <c r="AU74" s="175">
        <v>502.18</v>
      </c>
      <c r="AV74" s="175">
        <v>4.759249671432554</v>
      </c>
      <c r="AW74" s="175">
        <v>3.8137360705957226</v>
      </c>
      <c r="AX74" s="175">
        <v>135</v>
      </c>
      <c r="AY74" s="175">
        <v>629</v>
      </c>
      <c r="AZ74" s="175">
        <v>0.21462639109697934</v>
      </c>
      <c r="BA74" s="175">
        <v>0.15344255501274484</v>
      </c>
      <c r="BB74" s="175">
        <v>0.5636</v>
      </c>
      <c r="BC74" s="207">
        <v>770</v>
      </c>
      <c r="BD74" s="175">
        <v>876</v>
      </c>
      <c r="BE74" s="175">
        <v>0.8789954337899544</v>
      </c>
      <c r="BF74" s="175">
        <v>0.4700885511988613</v>
      </c>
      <c r="BG74" s="175">
        <v>0</v>
      </c>
      <c r="BH74" s="175">
        <v>0</v>
      </c>
      <c r="BI74" s="207">
        <v>0</v>
      </c>
      <c r="BJ74" s="207">
        <v>-573.6</v>
      </c>
      <c r="BK74" s="207">
        <v>-9799</v>
      </c>
      <c r="BL74" s="207">
        <v>-669.2</v>
      </c>
      <c r="BM74" s="207">
        <v>0</v>
      </c>
      <c r="BN74" s="207">
        <v>0</v>
      </c>
      <c r="BO74" s="207">
        <v>139899</v>
      </c>
      <c r="BP74" s="207">
        <v>-33534.22064284436</v>
      </c>
      <c r="BQ74" s="207">
        <v>-101718.40000000001</v>
      </c>
      <c r="BR74" s="207">
        <v>9185.336451798677</v>
      </c>
      <c r="BS74" s="207">
        <v>291060</v>
      </c>
      <c r="BT74" s="207">
        <v>92413</v>
      </c>
      <c r="BU74" s="207">
        <v>256894.05377211169</v>
      </c>
      <c r="BV74" s="207">
        <v>15394.886270220215</v>
      </c>
      <c r="BW74" s="207">
        <v>35647.9445174762</v>
      </c>
      <c r="BX74" s="207">
        <v>106520.14217974393</v>
      </c>
      <c r="BY74" s="207">
        <v>169559.83785104705</v>
      </c>
      <c r="BZ74" s="207">
        <v>240230.03207086163</v>
      </c>
      <c r="CA74" s="207">
        <v>84367.24290657333</v>
      </c>
      <c r="CB74" s="207">
        <v>135286.7709038614</v>
      </c>
      <c r="CC74" s="207">
        <v>215.1</v>
      </c>
      <c r="CD74" s="207">
        <v>-12620.190657605053</v>
      </c>
      <c r="CE74" s="207">
        <v>253421.20874571337</v>
      </c>
      <c r="CF74" s="207">
        <v>-40312.311897130945</v>
      </c>
      <c r="CG74" s="207">
        <v>114375.86295151978</v>
      </c>
      <c r="CH74" s="207">
        <v>204810.63861234748</v>
      </c>
      <c r="CI74" s="207">
        <v>0</v>
      </c>
      <c r="CJ74" s="207">
        <v>2617536.8901661397</v>
      </c>
      <c r="CK74" s="207">
        <v>-427856</v>
      </c>
      <c r="CL74" s="207">
        <v>44992.2</v>
      </c>
      <c r="CM74" s="207">
        <v>17724.2</v>
      </c>
      <c r="CN74" s="207">
        <v>27267.999999999996</v>
      </c>
      <c r="CO74" s="207">
        <v>6778824.123320321</v>
      </c>
      <c r="CP74" s="207">
        <v>7746857.442659037</v>
      </c>
      <c r="CQ74" s="207">
        <v>2403</v>
      </c>
    </row>
    <row r="75" spans="1:95" ht="11.25">
      <c r="A75" s="207">
        <v>231</v>
      </c>
      <c r="B75" s="207" t="s">
        <v>132</v>
      </c>
      <c r="C75" s="207">
        <v>1262</v>
      </c>
      <c r="D75" s="207">
        <v>4353384.09</v>
      </c>
      <c r="E75" s="207">
        <v>1599068.4526627262</v>
      </c>
      <c r="F75" s="207">
        <v>447682.15723435633</v>
      </c>
      <c r="G75" s="207">
        <v>6400134.6998970825</v>
      </c>
      <c r="H75" s="207">
        <v>3664.46</v>
      </c>
      <c r="I75" s="207">
        <v>4624548.5200000005</v>
      </c>
      <c r="J75" s="207">
        <v>1775586.179897082</v>
      </c>
      <c r="K75" s="207">
        <v>149719.9792159485</v>
      </c>
      <c r="L75" s="207">
        <v>-80730.98025233854</v>
      </c>
      <c r="M75" s="207">
        <v>0</v>
      </c>
      <c r="N75" s="207">
        <v>1844575.1788606918</v>
      </c>
      <c r="O75" s="207">
        <v>-222273.3279668322</v>
      </c>
      <c r="P75" s="207">
        <v>1622301.8508938598</v>
      </c>
      <c r="Q75" s="207">
        <v>54</v>
      </c>
      <c r="R75" s="207">
        <v>10</v>
      </c>
      <c r="S75" s="207">
        <v>53</v>
      </c>
      <c r="T75" s="207">
        <v>30</v>
      </c>
      <c r="U75" s="207">
        <v>32</v>
      </c>
      <c r="V75" s="207">
        <v>580</v>
      </c>
      <c r="W75" s="207">
        <v>311</v>
      </c>
      <c r="X75" s="207">
        <v>151</v>
      </c>
      <c r="Y75" s="207">
        <v>41</v>
      </c>
      <c r="Z75" s="207">
        <v>368</v>
      </c>
      <c r="AA75" s="207">
        <v>0</v>
      </c>
      <c r="AB75" s="207">
        <v>801</v>
      </c>
      <c r="AC75" s="207">
        <v>93</v>
      </c>
      <c r="AD75" s="207">
        <v>503</v>
      </c>
      <c r="AE75" s="481">
        <v>1.072487783225578</v>
      </c>
      <c r="AF75" s="207">
        <v>1599068.4526627262</v>
      </c>
      <c r="AG75" s="207" t="e">
        <v>#DIV/0!</v>
      </c>
      <c r="AH75" s="207" t="e">
        <v>#DIV/0!</v>
      </c>
      <c r="AI75" s="207" t="e">
        <v>#DIV/0!</v>
      </c>
      <c r="AJ75" s="175">
        <v>37</v>
      </c>
      <c r="AK75" s="175">
        <v>516</v>
      </c>
      <c r="AL75" s="175">
        <v>0.7349812522179143</v>
      </c>
      <c r="AM75" s="175">
        <v>93</v>
      </c>
      <c r="AN75" s="175">
        <v>0.07369255150554675</v>
      </c>
      <c r="AO75" s="175">
        <v>0.07041147239508376</v>
      </c>
      <c r="AP75" s="175">
        <v>1</v>
      </c>
      <c r="AQ75" s="175">
        <v>368</v>
      </c>
      <c r="AR75" s="175">
        <v>0</v>
      </c>
      <c r="AS75" s="175">
        <v>0</v>
      </c>
      <c r="AT75" s="175">
        <v>0</v>
      </c>
      <c r="AU75" s="175">
        <v>10.63</v>
      </c>
      <c r="AV75" s="175">
        <v>118.72060206961429</v>
      </c>
      <c r="AW75" s="175">
        <v>0.15288435052132093</v>
      </c>
      <c r="AX75" s="175">
        <v>48</v>
      </c>
      <c r="AY75" s="175">
        <v>281</v>
      </c>
      <c r="AZ75" s="175">
        <v>0.1708185053380783</v>
      </c>
      <c r="BA75" s="175">
        <v>0.1096346692538438</v>
      </c>
      <c r="BB75" s="175">
        <v>0.360033</v>
      </c>
      <c r="BC75" s="207">
        <v>453</v>
      </c>
      <c r="BD75" s="175">
        <v>440</v>
      </c>
      <c r="BE75" s="175">
        <v>1.0295454545454545</v>
      </c>
      <c r="BF75" s="175">
        <v>0.6206385719543615</v>
      </c>
      <c r="BG75" s="175">
        <v>0</v>
      </c>
      <c r="BH75" s="175">
        <v>0</v>
      </c>
      <c r="BI75" s="207">
        <v>0</v>
      </c>
      <c r="BJ75" s="207">
        <v>-302.88</v>
      </c>
      <c r="BK75" s="207">
        <v>-5174.2</v>
      </c>
      <c r="BL75" s="207">
        <v>-353.36</v>
      </c>
      <c r="BM75" s="207">
        <v>0</v>
      </c>
      <c r="BN75" s="207">
        <v>0</v>
      </c>
      <c r="BO75" s="207">
        <v>23962</v>
      </c>
      <c r="BP75" s="207">
        <v>-6437.454270962142</v>
      </c>
      <c r="BQ75" s="207">
        <v>-53710.72</v>
      </c>
      <c r="BR75" s="207">
        <v>10795.96809515229</v>
      </c>
      <c r="BS75" s="207">
        <v>96307</v>
      </c>
      <c r="BT75" s="207">
        <v>37918</v>
      </c>
      <c r="BU75" s="207">
        <v>84599.72105985375</v>
      </c>
      <c r="BV75" s="207">
        <v>4667.110441196863</v>
      </c>
      <c r="BW75" s="207">
        <v>14013.607726811122</v>
      </c>
      <c r="BX75" s="207">
        <v>34434.394086437955</v>
      </c>
      <c r="BY75" s="207">
        <v>64977.746840366635</v>
      </c>
      <c r="BZ75" s="207">
        <v>108592.87659227524</v>
      </c>
      <c r="CA75" s="207">
        <v>32056.051184232758</v>
      </c>
      <c r="CB75" s="207">
        <v>55307.081604828636</v>
      </c>
      <c r="CC75" s="207">
        <v>113.58</v>
      </c>
      <c r="CD75" s="207">
        <v>-29233.183312163666</v>
      </c>
      <c r="CE75" s="207">
        <v>63100.41401862362</v>
      </c>
      <c r="CF75" s="207">
        <v>-80730.98025233854</v>
      </c>
      <c r="CG75" s="207">
        <v>56212.669235635</v>
      </c>
      <c r="CH75" s="207">
        <v>69851.5638250441</v>
      </c>
      <c r="CI75" s="207">
        <v>0</v>
      </c>
      <c r="CJ75" s="207">
        <v>-222273.3279668322</v>
      </c>
      <c r="CK75" s="207">
        <v>-197454</v>
      </c>
      <c r="CL75" s="207">
        <v>47719</v>
      </c>
      <c r="CM75" s="207">
        <v>340850</v>
      </c>
      <c r="CN75" s="207">
        <v>-293131</v>
      </c>
      <c r="CO75" s="207">
        <v>1424847.8508938598</v>
      </c>
      <c r="CP75" s="207">
        <v>1737420.5548274638</v>
      </c>
      <c r="CQ75" s="207">
        <v>1274</v>
      </c>
    </row>
    <row r="76" spans="1:95" ht="11.25">
      <c r="A76" s="207">
        <v>232</v>
      </c>
      <c r="B76" s="207" t="s">
        <v>133</v>
      </c>
      <c r="C76" s="207">
        <v>13375</v>
      </c>
      <c r="D76" s="207">
        <v>48604598.78</v>
      </c>
      <c r="E76" s="207">
        <v>21483437.81365977</v>
      </c>
      <c r="F76" s="207">
        <v>2965334.2963903737</v>
      </c>
      <c r="G76" s="207">
        <v>73053370.89005014</v>
      </c>
      <c r="H76" s="207">
        <v>3664.46</v>
      </c>
      <c r="I76" s="207">
        <v>49012152.5</v>
      </c>
      <c r="J76" s="207">
        <v>24041218.390050143</v>
      </c>
      <c r="K76" s="207">
        <v>535911.1389037672</v>
      </c>
      <c r="L76" s="207">
        <v>-1370236.2755579797</v>
      </c>
      <c r="M76" s="207">
        <v>0</v>
      </c>
      <c r="N76" s="207">
        <v>23206893.25339593</v>
      </c>
      <c r="O76" s="207">
        <v>10897234.52678467</v>
      </c>
      <c r="P76" s="207">
        <v>34104127.7801806</v>
      </c>
      <c r="Q76" s="207">
        <v>744</v>
      </c>
      <c r="R76" s="207">
        <v>135</v>
      </c>
      <c r="S76" s="207">
        <v>906</v>
      </c>
      <c r="T76" s="207">
        <v>465</v>
      </c>
      <c r="U76" s="207">
        <v>477</v>
      </c>
      <c r="V76" s="207">
        <v>7140</v>
      </c>
      <c r="W76" s="207">
        <v>2058</v>
      </c>
      <c r="X76" s="207">
        <v>985</v>
      </c>
      <c r="Y76" s="207">
        <v>465</v>
      </c>
      <c r="Z76" s="207">
        <v>37</v>
      </c>
      <c r="AA76" s="207">
        <v>0</v>
      </c>
      <c r="AB76" s="207">
        <v>13032</v>
      </c>
      <c r="AC76" s="207">
        <v>306</v>
      </c>
      <c r="AD76" s="207">
        <v>3508</v>
      </c>
      <c r="AE76" s="481">
        <v>1.3595483018394405</v>
      </c>
      <c r="AF76" s="207">
        <v>21483437.81365977</v>
      </c>
      <c r="AG76" s="207" t="e">
        <v>#DIV/0!</v>
      </c>
      <c r="AH76" s="207" t="e">
        <v>#DIV/0!</v>
      </c>
      <c r="AI76" s="207" t="e">
        <v>#DIV/0!</v>
      </c>
      <c r="AJ76" s="175">
        <v>495</v>
      </c>
      <c r="AK76" s="175">
        <v>6055</v>
      </c>
      <c r="AL76" s="175">
        <v>0.8379445686678406</v>
      </c>
      <c r="AM76" s="175">
        <v>306</v>
      </c>
      <c r="AN76" s="175">
        <v>0.022878504672897197</v>
      </c>
      <c r="AO76" s="175">
        <v>0.0195974255624342</v>
      </c>
      <c r="AP76" s="175">
        <v>0</v>
      </c>
      <c r="AQ76" s="175">
        <v>37</v>
      </c>
      <c r="AR76" s="175">
        <v>0</v>
      </c>
      <c r="AS76" s="175">
        <v>0</v>
      </c>
      <c r="AT76" s="175">
        <v>0</v>
      </c>
      <c r="AU76" s="175">
        <v>1298.98</v>
      </c>
      <c r="AV76" s="175">
        <v>10.29654036243822</v>
      </c>
      <c r="AW76" s="175">
        <v>1.7627787103254873</v>
      </c>
      <c r="AX76" s="175">
        <v>578</v>
      </c>
      <c r="AY76" s="175">
        <v>3904</v>
      </c>
      <c r="AZ76" s="175">
        <v>0.14805327868852458</v>
      </c>
      <c r="BA76" s="175">
        <v>0.08686944260429008</v>
      </c>
      <c r="BB76" s="175">
        <v>0</v>
      </c>
      <c r="BC76" s="207">
        <v>5377</v>
      </c>
      <c r="BD76" s="175">
        <v>5276</v>
      </c>
      <c r="BE76" s="175">
        <v>1.0191432903714936</v>
      </c>
      <c r="BF76" s="175">
        <v>0.6102364077804006</v>
      </c>
      <c r="BG76" s="175">
        <v>0</v>
      </c>
      <c r="BH76" s="175">
        <v>0</v>
      </c>
      <c r="BI76" s="207">
        <v>0</v>
      </c>
      <c r="BJ76" s="207">
        <v>-3210</v>
      </c>
      <c r="BK76" s="207">
        <v>-54837.49999999999</v>
      </c>
      <c r="BL76" s="207">
        <v>-3745.0000000000005</v>
      </c>
      <c r="BM76" s="207">
        <v>0</v>
      </c>
      <c r="BN76" s="207">
        <v>0</v>
      </c>
      <c r="BO76" s="207">
        <v>-121273</v>
      </c>
      <c r="BP76" s="207">
        <v>-610430.6462953696</v>
      </c>
      <c r="BQ76" s="207">
        <v>-569240</v>
      </c>
      <c r="BR76" s="207">
        <v>220633.7152224183</v>
      </c>
      <c r="BS76" s="207">
        <v>1348002</v>
      </c>
      <c r="BT76" s="207">
        <v>442548</v>
      </c>
      <c r="BU76" s="207">
        <v>1109041.4400691977</v>
      </c>
      <c r="BV76" s="207">
        <v>52325.6392268162</v>
      </c>
      <c r="BW76" s="207">
        <v>142064.68655123145</v>
      </c>
      <c r="BX76" s="207">
        <v>519039.0985858991</v>
      </c>
      <c r="BY76" s="207">
        <v>837154.959615151</v>
      </c>
      <c r="BZ76" s="207">
        <v>1257961.1728310033</v>
      </c>
      <c r="CA76" s="207">
        <v>390550.8166091616</v>
      </c>
      <c r="CB76" s="207">
        <v>682682.4474769958</v>
      </c>
      <c r="CC76" s="207">
        <v>1203.75</v>
      </c>
      <c r="CD76" s="207">
        <v>-59106.117415934874</v>
      </c>
      <c r="CE76" s="207">
        <v>696330.6207373899</v>
      </c>
      <c r="CF76" s="207">
        <v>-1370236.2755579797</v>
      </c>
      <c r="CG76" s="207">
        <v>641631.0229309065</v>
      </c>
      <c r="CH76" s="207">
        <v>1000224.434574306</v>
      </c>
      <c r="CI76" s="207">
        <v>0</v>
      </c>
      <c r="CJ76" s="207">
        <v>10897234.52678467</v>
      </c>
      <c r="CK76" s="207">
        <v>-610476</v>
      </c>
      <c r="CL76" s="207">
        <v>208736.54000000004</v>
      </c>
      <c r="CM76" s="207">
        <v>282428.31</v>
      </c>
      <c r="CN76" s="207">
        <v>-73691.76999999996</v>
      </c>
      <c r="CO76" s="207">
        <v>33493651.780180603</v>
      </c>
      <c r="CP76" s="207">
        <v>38115171.83337281</v>
      </c>
      <c r="CQ76" s="207">
        <v>13610</v>
      </c>
    </row>
    <row r="77" spans="1:95" ht="11.25">
      <c r="A77" s="207">
        <v>233</v>
      </c>
      <c r="B77" s="207" t="s">
        <v>134</v>
      </c>
      <c r="C77" s="207">
        <v>16022</v>
      </c>
      <c r="D77" s="207">
        <v>62466816.74</v>
      </c>
      <c r="E77" s="207">
        <v>25260618.08345859</v>
      </c>
      <c r="F77" s="207">
        <v>3169226.4172160365</v>
      </c>
      <c r="G77" s="207">
        <v>90896661.24067463</v>
      </c>
      <c r="H77" s="207">
        <v>3664.46</v>
      </c>
      <c r="I77" s="207">
        <v>58711978.12</v>
      </c>
      <c r="J77" s="207">
        <v>32184683.120674632</v>
      </c>
      <c r="K77" s="207">
        <v>687887.9722881569</v>
      </c>
      <c r="L77" s="207">
        <v>-1871402.258250203</v>
      </c>
      <c r="M77" s="207">
        <v>0</v>
      </c>
      <c r="N77" s="207">
        <v>31001168.834712587</v>
      </c>
      <c r="O77" s="207">
        <v>12900294.529574718</v>
      </c>
      <c r="P77" s="207">
        <v>43901463.3642873</v>
      </c>
      <c r="Q77" s="207">
        <v>858</v>
      </c>
      <c r="R77" s="207">
        <v>166</v>
      </c>
      <c r="S77" s="207">
        <v>1164</v>
      </c>
      <c r="T77" s="207">
        <v>617</v>
      </c>
      <c r="U77" s="207">
        <v>525</v>
      </c>
      <c r="V77" s="207">
        <v>8239</v>
      </c>
      <c r="W77" s="207">
        <v>2395</v>
      </c>
      <c r="X77" s="207">
        <v>1360</v>
      </c>
      <c r="Y77" s="207">
        <v>698</v>
      </c>
      <c r="Z77" s="207">
        <v>105</v>
      </c>
      <c r="AA77" s="207">
        <v>0</v>
      </c>
      <c r="AB77" s="207">
        <v>15478</v>
      </c>
      <c r="AC77" s="207">
        <v>439</v>
      </c>
      <c r="AD77" s="207">
        <v>4453</v>
      </c>
      <c r="AE77" s="481">
        <v>1.334479475769834</v>
      </c>
      <c r="AF77" s="207">
        <v>25260618.08345859</v>
      </c>
      <c r="AG77" s="207" t="e">
        <v>#DIV/0!</v>
      </c>
      <c r="AH77" s="207" t="e">
        <v>#DIV/0!</v>
      </c>
      <c r="AI77" s="207" t="e">
        <v>#DIV/0!</v>
      </c>
      <c r="AJ77" s="175">
        <v>456</v>
      </c>
      <c r="AK77" s="175">
        <v>7096</v>
      </c>
      <c r="AL77" s="175">
        <v>0.6586815134596817</v>
      </c>
      <c r="AM77" s="175">
        <v>439</v>
      </c>
      <c r="AN77" s="175">
        <v>0.027399825240294596</v>
      </c>
      <c r="AO77" s="175">
        <v>0.0241187461298316</v>
      </c>
      <c r="AP77" s="175">
        <v>0</v>
      </c>
      <c r="AQ77" s="175">
        <v>105</v>
      </c>
      <c r="AR77" s="175">
        <v>0</v>
      </c>
      <c r="AS77" s="175">
        <v>0</v>
      </c>
      <c r="AT77" s="175">
        <v>0</v>
      </c>
      <c r="AU77" s="175">
        <v>1313.78</v>
      </c>
      <c r="AV77" s="175">
        <v>12.195344730472378</v>
      </c>
      <c r="AW77" s="175">
        <v>1.4883156271557174</v>
      </c>
      <c r="AX77" s="175">
        <v>603</v>
      </c>
      <c r="AY77" s="175">
        <v>4479</v>
      </c>
      <c r="AZ77" s="175">
        <v>0.1346282652377763</v>
      </c>
      <c r="BA77" s="175">
        <v>0.0734444291535418</v>
      </c>
      <c r="BB77" s="175">
        <v>0</v>
      </c>
      <c r="BC77" s="207">
        <v>6872</v>
      </c>
      <c r="BD77" s="175">
        <v>6466</v>
      </c>
      <c r="BE77" s="175">
        <v>1.0627899783482833</v>
      </c>
      <c r="BF77" s="175">
        <v>0.6538830957571902</v>
      </c>
      <c r="BG77" s="175">
        <v>0</v>
      </c>
      <c r="BH77" s="175">
        <v>0</v>
      </c>
      <c r="BI77" s="207">
        <v>0</v>
      </c>
      <c r="BJ77" s="207">
        <v>-3845.2799999999997</v>
      </c>
      <c r="BK77" s="207">
        <v>-65690.2</v>
      </c>
      <c r="BL77" s="207">
        <v>-4486.160000000001</v>
      </c>
      <c r="BM77" s="207">
        <v>0</v>
      </c>
      <c r="BN77" s="207">
        <v>0</v>
      </c>
      <c r="BO77" s="207">
        <v>-503126</v>
      </c>
      <c r="BP77" s="207">
        <v>-384896.14201207215</v>
      </c>
      <c r="BQ77" s="207">
        <v>-681896.3200000001</v>
      </c>
      <c r="BR77" s="207">
        <v>55571.627510622144</v>
      </c>
      <c r="BS77" s="207">
        <v>1591871</v>
      </c>
      <c r="BT77" s="207">
        <v>502839</v>
      </c>
      <c r="BU77" s="207">
        <v>1326433.255680016</v>
      </c>
      <c r="BV77" s="207">
        <v>67143.61223950218</v>
      </c>
      <c r="BW77" s="207">
        <v>136521.67357738214</v>
      </c>
      <c r="BX77" s="207">
        <v>582007.1615354746</v>
      </c>
      <c r="BY77" s="207">
        <v>978436.1017883895</v>
      </c>
      <c r="BZ77" s="207">
        <v>1595489.3984866217</v>
      </c>
      <c r="CA77" s="207">
        <v>447314.7966168502</v>
      </c>
      <c r="CB77" s="207">
        <v>813149.6786126526</v>
      </c>
      <c r="CC77" s="207">
        <v>1441.98</v>
      </c>
      <c r="CD77" s="207">
        <v>-110289.80364847451</v>
      </c>
      <c r="CE77" s="207">
        <v>257809.02376186903</v>
      </c>
      <c r="CF77" s="207">
        <v>-1871402.258250203</v>
      </c>
      <c r="CG77" s="207">
        <v>798349.4398997214</v>
      </c>
      <c r="CH77" s="207">
        <v>1135097.7340665367</v>
      </c>
      <c r="CI77" s="207">
        <v>0</v>
      </c>
      <c r="CJ77" s="207">
        <v>12900294.529574718</v>
      </c>
      <c r="CK77" s="207">
        <v>-417241</v>
      </c>
      <c r="CL77" s="207">
        <v>445831.80000000005</v>
      </c>
      <c r="CM77" s="207">
        <v>96801.4</v>
      </c>
      <c r="CN77" s="207">
        <v>349030.4</v>
      </c>
      <c r="CO77" s="207">
        <v>43484222.3642873</v>
      </c>
      <c r="CP77" s="207">
        <v>48832491.47321927</v>
      </c>
      <c r="CQ77" s="207">
        <v>16278</v>
      </c>
    </row>
    <row r="78" spans="1:95" ht="11.25">
      <c r="A78" s="207">
        <v>235</v>
      </c>
      <c r="B78" s="207" t="s">
        <v>135</v>
      </c>
      <c r="C78" s="207">
        <v>9615</v>
      </c>
      <c r="D78" s="207">
        <v>36344667.43</v>
      </c>
      <c r="E78" s="207">
        <v>7692197.55400181</v>
      </c>
      <c r="F78" s="207">
        <v>3059362.1019501486</v>
      </c>
      <c r="G78" s="207">
        <v>47096227.085951954</v>
      </c>
      <c r="H78" s="207">
        <v>3664.46</v>
      </c>
      <c r="I78" s="207">
        <v>35233782.9</v>
      </c>
      <c r="J78" s="207">
        <v>11862444.185951956</v>
      </c>
      <c r="K78" s="207">
        <v>111649.34689046901</v>
      </c>
      <c r="L78" s="207">
        <v>-1422977.9597007118</v>
      </c>
      <c r="M78" s="207">
        <v>0</v>
      </c>
      <c r="N78" s="207">
        <v>10551115.573141713</v>
      </c>
      <c r="O78" s="207">
        <v>-14225563.484818915</v>
      </c>
      <c r="P78" s="207">
        <v>-3674447.911677202</v>
      </c>
      <c r="Q78" s="207">
        <v>496</v>
      </c>
      <c r="R78" s="207">
        <v>135</v>
      </c>
      <c r="S78" s="207">
        <v>808</v>
      </c>
      <c r="T78" s="207">
        <v>445</v>
      </c>
      <c r="U78" s="207">
        <v>443</v>
      </c>
      <c r="V78" s="207">
        <v>5192</v>
      </c>
      <c r="W78" s="207">
        <v>1059</v>
      </c>
      <c r="X78" s="207">
        <v>763</v>
      </c>
      <c r="Y78" s="207">
        <v>274</v>
      </c>
      <c r="Z78" s="207">
        <v>3202</v>
      </c>
      <c r="AA78" s="207">
        <v>3</v>
      </c>
      <c r="AB78" s="207">
        <v>5675</v>
      </c>
      <c r="AC78" s="207">
        <v>735</v>
      </c>
      <c r="AD78" s="207">
        <v>2096</v>
      </c>
      <c r="AE78" s="481">
        <v>0.6771514210826067</v>
      </c>
      <c r="AF78" s="207">
        <v>7692197.55400181</v>
      </c>
      <c r="AG78" s="207" t="e">
        <v>#DIV/0!</v>
      </c>
      <c r="AH78" s="207" t="e">
        <v>#DIV/0!</v>
      </c>
      <c r="AI78" s="207" t="e">
        <v>#DIV/0!</v>
      </c>
      <c r="AJ78" s="175">
        <v>251</v>
      </c>
      <c r="AK78" s="175">
        <v>4297</v>
      </c>
      <c r="AL78" s="175">
        <v>0.5987321881529879</v>
      </c>
      <c r="AM78" s="175">
        <v>735</v>
      </c>
      <c r="AN78" s="175">
        <v>0.07644305772230889</v>
      </c>
      <c r="AO78" s="175">
        <v>0.0731619786118459</v>
      </c>
      <c r="AP78" s="175">
        <v>1</v>
      </c>
      <c r="AQ78" s="175">
        <v>3202</v>
      </c>
      <c r="AR78" s="175">
        <v>3</v>
      </c>
      <c r="AS78" s="175">
        <v>0</v>
      </c>
      <c r="AT78" s="175">
        <v>0</v>
      </c>
      <c r="AU78" s="175">
        <v>5.89</v>
      </c>
      <c r="AV78" s="175">
        <v>1632.427843803056</v>
      </c>
      <c r="AW78" s="175">
        <v>0.011118728591781443</v>
      </c>
      <c r="AX78" s="175">
        <v>253</v>
      </c>
      <c r="AY78" s="175">
        <v>2965</v>
      </c>
      <c r="AZ78" s="175">
        <v>0.08532883642495784</v>
      </c>
      <c r="BA78" s="175">
        <v>0.024145000340723345</v>
      </c>
      <c r="BB78" s="175">
        <v>0</v>
      </c>
      <c r="BC78" s="207">
        <v>2336</v>
      </c>
      <c r="BD78" s="175">
        <v>3988</v>
      </c>
      <c r="BE78" s="175">
        <v>0.5857572718154463</v>
      </c>
      <c r="BF78" s="175">
        <v>0.17685038922435325</v>
      </c>
      <c r="BG78" s="175">
        <v>0</v>
      </c>
      <c r="BH78" s="175">
        <v>3</v>
      </c>
      <c r="BI78" s="207">
        <v>0</v>
      </c>
      <c r="BJ78" s="207">
        <v>-2307.6</v>
      </c>
      <c r="BK78" s="207">
        <v>-39421.5</v>
      </c>
      <c r="BL78" s="207">
        <v>-2692.2000000000003</v>
      </c>
      <c r="BM78" s="207">
        <v>0</v>
      </c>
      <c r="BN78" s="207">
        <v>0</v>
      </c>
      <c r="BO78" s="207">
        <v>-66218</v>
      </c>
      <c r="BP78" s="207">
        <v>-329237.66813237383</v>
      </c>
      <c r="BQ78" s="207">
        <v>-409214.4</v>
      </c>
      <c r="BR78" s="207">
        <v>-383247.70536642754</v>
      </c>
      <c r="BS78" s="207">
        <v>400853</v>
      </c>
      <c r="BT78" s="207">
        <v>140968</v>
      </c>
      <c r="BU78" s="207">
        <v>243665.55433787196</v>
      </c>
      <c r="BV78" s="207">
        <v>-364.4745045378025</v>
      </c>
      <c r="BW78" s="207">
        <v>-473805.29871285387</v>
      </c>
      <c r="BX78" s="207">
        <v>-38842.97927835519</v>
      </c>
      <c r="BY78" s="207">
        <v>238687.31922770882</v>
      </c>
      <c r="BZ78" s="207">
        <v>389412.30320669874</v>
      </c>
      <c r="CA78" s="207">
        <v>143400.37083215994</v>
      </c>
      <c r="CB78" s="207">
        <v>228980.30962155422</v>
      </c>
      <c r="CC78" s="207">
        <v>865.35</v>
      </c>
      <c r="CD78" s="207">
        <v>-21522.004490942032</v>
      </c>
      <c r="CE78" s="207">
        <v>-46955.24156833765</v>
      </c>
      <c r="CF78" s="207">
        <v>-1422977.9597007118</v>
      </c>
      <c r="CG78" s="207">
        <v>413648.2682890319</v>
      </c>
      <c r="CH78" s="207">
        <v>306882.1434983635</v>
      </c>
      <c r="CI78" s="207">
        <v>0</v>
      </c>
      <c r="CJ78" s="207">
        <v>-14225563.484818915</v>
      </c>
      <c r="CK78" s="207">
        <v>2156881</v>
      </c>
      <c r="CL78" s="207">
        <v>3692087.2000000007</v>
      </c>
      <c r="CM78" s="207">
        <v>1183477.5555999998</v>
      </c>
      <c r="CN78" s="207">
        <v>2508609.6444000006</v>
      </c>
      <c r="CO78" s="207">
        <v>-1517566.9116772022</v>
      </c>
      <c r="CP78" s="207">
        <v>-2294351.366732817</v>
      </c>
      <c r="CQ78" s="207">
        <v>9624</v>
      </c>
    </row>
    <row r="79" spans="1:95" ht="11.25">
      <c r="A79" s="207">
        <v>236</v>
      </c>
      <c r="B79" s="207" t="s">
        <v>136</v>
      </c>
      <c r="C79" s="207">
        <v>4273</v>
      </c>
      <c r="D79" s="207">
        <v>16053483.19</v>
      </c>
      <c r="E79" s="207">
        <v>5027813.751142717</v>
      </c>
      <c r="F79" s="207">
        <v>771263.0582779614</v>
      </c>
      <c r="G79" s="207">
        <v>21852559.999420676</v>
      </c>
      <c r="H79" s="207">
        <v>3664.46</v>
      </c>
      <c r="I79" s="207">
        <v>15658237.58</v>
      </c>
      <c r="J79" s="207">
        <v>6194322.419420676</v>
      </c>
      <c r="K79" s="207">
        <v>235598.6916681971</v>
      </c>
      <c r="L79" s="207">
        <v>-323788.581030675</v>
      </c>
      <c r="M79" s="207">
        <v>0</v>
      </c>
      <c r="N79" s="207">
        <v>6106132.530058199</v>
      </c>
      <c r="O79" s="207">
        <v>3300690.3402804937</v>
      </c>
      <c r="P79" s="207">
        <v>9406822.870338693</v>
      </c>
      <c r="Q79" s="207">
        <v>311</v>
      </c>
      <c r="R79" s="207">
        <v>66</v>
      </c>
      <c r="S79" s="207">
        <v>334</v>
      </c>
      <c r="T79" s="207">
        <v>159</v>
      </c>
      <c r="U79" s="207">
        <v>140</v>
      </c>
      <c r="V79" s="207">
        <v>2298</v>
      </c>
      <c r="W79" s="207">
        <v>535</v>
      </c>
      <c r="X79" s="207">
        <v>304</v>
      </c>
      <c r="Y79" s="207">
        <v>126</v>
      </c>
      <c r="Z79" s="207">
        <v>87</v>
      </c>
      <c r="AA79" s="207">
        <v>1</v>
      </c>
      <c r="AB79" s="207">
        <v>4098</v>
      </c>
      <c r="AC79" s="207">
        <v>87</v>
      </c>
      <c r="AD79" s="207">
        <v>965</v>
      </c>
      <c r="AE79" s="481">
        <v>0.9959348784496412</v>
      </c>
      <c r="AF79" s="207">
        <v>5027813.751142717</v>
      </c>
      <c r="AG79" s="207" t="e">
        <v>#DIV/0!</v>
      </c>
      <c r="AH79" s="207" t="e">
        <v>#DIV/0!</v>
      </c>
      <c r="AI79" s="207" t="e">
        <v>#DIV/0!</v>
      </c>
      <c r="AJ79" s="175">
        <v>136</v>
      </c>
      <c r="AK79" s="175">
        <v>2034</v>
      </c>
      <c r="AL79" s="175">
        <v>0.6853496552611597</v>
      </c>
      <c r="AM79" s="175">
        <v>87</v>
      </c>
      <c r="AN79" s="175">
        <v>0.020360402527498246</v>
      </c>
      <c r="AO79" s="175">
        <v>0.01707932341703525</v>
      </c>
      <c r="AP79" s="175">
        <v>0</v>
      </c>
      <c r="AQ79" s="175">
        <v>87</v>
      </c>
      <c r="AR79" s="175">
        <v>1</v>
      </c>
      <c r="AS79" s="175">
        <v>0</v>
      </c>
      <c r="AT79" s="175">
        <v>0</v>
      </c>
      <c r="AU79" s="175">
        <v>353.97</v>
      </c>
      <c r="AV79" s="175">
        <v>12.071644489646014</v>
      </c>
      <c r="AW79" s="175">
        <v>1.5035666562646937</v>
      </c>
      <c r="AX79" s="175">
        <v>155</v>
      </c>
      <c r="AY79" s="175">
        <v>1303</v>
      </c>
      <c r="AZ79" s="175">
        <v>0.11895625479662318</v>
      </c>
      <c r="BA79" s="175">
        <v>0.05777241871238869</v>
      </c>
      <c r="BB79" s="175">
        <v>0.1026</v>
      </c>
      <c r="BC79" s="207">
        <v>1701</v>
      </c>
      <c r="BD79" s="175">
        <v>1868</v>
      </c>
      <c r="BE79" s="175">
        <v>0.9105995717344754</v>
      </c>
      <c r="BF79" s="175">
        <v>0.5016926891433823</v>
      </c>
      <c r="BG79" s="175">
        <v>0</v>
      </c>
      <c r="BH79" s="175">
        <v>1</v>
      </c>
      <c r="BI79" s="207">
        <v>0</v>
      </c>
      <c r="BJ79" s="207">
        <v>-1025.52</v>
      </c>
      <c r="BK79" s="207">
        <v>-17519.3</v>
      </c>
      <c r="BL79" s="207">
        <v>-1196.44</v>
      </c>
      <c r="BM79" s="207">
        <v>0</v>
      </c>
      <c r="BN79" s="207">
        <v>0</v>
      </c>
      <c r="BO79" s="207">
        <v>-23093</v>
      </c>
      <c r="BP79" s="207">
        <v>1432.9450479651277</v>
      </c>
      <c r="BQ79" s="207">
        <v>-181858.88</v>
      </c>
      <c r="BR79" s="207">
        <v>2179.703014673665</v>
      </c>
      <c r="BS79" s="207">
        <v>368269</v>
      </c>
      <c r="BT79" s="207">
        <v>129763</v>
      </c>
      <c r="BU79" s="207">
        <v>323098.58050311817</v>
      </c>
      <c r="BV79" s="207">
        <v>16486.611000444092</v>
      </c>
      <c r="BW79" s="207">
        <v>25574.44655187277</v>
      </c>
      <c r="BX79" s="207">
        <v>131319.51174693956</v>
      </c>
      <c r="BY79" s="207">
        <v>267335.263164313</v>
      </c>
      <c r="BZ79" s="207">
        <v>419922.6771925664</v>
      </c>
      <c r="CA79" s="207">
        <v>132581.03671430607</v>
      </c>
      <c r="CB79" s="207">
        <v>210045.2528847184</v>
      </c>
      <c r="CC79" s="207">
        <v>384.57</v>
      </c>
      <c r="CD79" s="207">
        <v>-35653.57065223552</v>
      </c>
      <c r="CE79" s="207">
        <v>139979.98392135985</v>
      </c>
      <c r="CF79" s="207">
        <v>-323788.581030675</v>
      </c>
      <c r="CG79" s="207">
        <v>191932.0115589217</v>
      </c>
      <c r="CH79" s="207">
        <v>317757.623965978</v>
      </c>
      <c r="CI79" s="207">
        <v>0</v>
      </c>
      <c r="CJ79" s="207">
        <v>3300690.3402804937</v>
      </c>
      <c r="CK79" s="207">
        <v>605624</v>
      </c>
      <c r="CL79" s="207">
        <v>205941.57</v>
      </c>
      <c r="CM79" s="207">
        <v>75055.17</v>
      </c>
      <c r="CN79" s="207">
        <v>130886.40000000001</v>
      </c>
      <c r="CO79" s="207">
        <v>10012446.870338693</v>
      </c>
      <c r="CP79" s="207">
        <v>10851994.034922075</v>
      </c>
      <c r="CQ79" s="207">
        <v>4309</v>
      </c>
    </row>
    <row r="80" spans="1:95" ht="11.25">
      <c r="A80" s="207">
        <v>239</v>
      </c>
      <c r="B80" s="207" t="s">
        <v>137</v>
      </c>
      <c r="C80" s="207">
        <v>2244</v>
      </c>
      <c r="D80" s="207">
        <v>8116488.01</v>
      </c>
      <c r="E80" s="207">
        <v>4494297.243379815</v>
      </c>
      <c r="F80" s="207">
        <v>736032.6443493686</v>
      </c>
      <c r="G80" s="207">
        <v>13346817.897729183</v>
      </c>
      <c r="H80" s="207">
        <v>3664.46</v>
      </c>
      <c r="I80" s="207">
        <v>8223048.24</v>
      </c>
      <c r="J80" s="207">
        <v>5123769.657729182</v>
      </c>
      <c r="K80" s="207">
        <v>884412.6720863364</v>
      </c>
      <c r="L80" s="207">
        <v>-212863.99752521963</v>
      </c>
      <c r="M80" s="207">
        <v>0</v>
      </c>
      <c r="N80" s="207">
        <v>5795318.332290299</v>
      </c>
      <c r="O80" s="207">
        <v>1967782.611462774</v>
      </c>
      <c r="P80" s="207">
        <v>7763100.943753073</v>
      </c>
      <c r="Q80" s="207">
        <v>97</v>
      </c>
      <c r="R80" s="207">
        <v>18</v>
      </c>
      <c r="S80" s="207">
        <v>102</v>
      </c>
      <c r="T80" s="207">
        <v>64</v>
      </c>
      <c r="U80" s="207">
        <v>64</v>
      </c>
      <c r="V80" s="207">
        <v>1134</v>
      </c>
      <c r="W80" s="207">
        <v>446</v>
      </c>
      <c r="X80" s="207">
        <v>219</v>
      </c>
      <c r="Y80" s="207">
        <v>100</v>
      </c>
      <c r="Z80" s="207">
        <v>3</v>
      </c>
      <c r="AA80" s="207">
        <v>0</v>
      </c>
      <c r="AB80" s="207">
        <v>2203</v>
      </c>
      <c r="AC80" s="207">
        <v>38</v>
      </c>
      <c r="AD80" s="207">
        <v>765</v>
      </c>
      <c r="AE80" s="481">
        <v>1.6952103416908444</v>
      </c>
      <c r="AF80" s="207">
        <v>4494297.243379815</v>
      </c>
      <c r="AG80" s="207" t="e">
        <v>#DIV/0!</v>
      </c>
      <c r="AH80" s="207" t="e">
        <v>#DIV/0!</v>
      </c>
      <c r="AI80" s="207" t="e">
        <v>#DIV/0!</v>
      </c>
      <c r="AJ80" s="175">
        <v>86</v>
      </c>
      <c r="AK80" s="175">
        <v>941</v>
      </c>
      <c r="AL80" s="175">
        <v>0.9367701998570286</v>
      </c>
      <c r="AM80" s="175">
        <v>38</v>
      </c>
      <c r="AN80" s="175">
        <v>0.01693404634581105</v>
      </c>
      <c r="AO80" s="175">
        <v>0.013652967235348056</v>
      </c>
      <c r="AP80" s="175">
        <v>0</v>
      </c>
      <c r="AQ80" s="175">
        <v>3</v>
      </c>
      <c r="AR80" s="175">
        <v>0</v>
      </c>
      <c r="AS80" s="175">
        <v>0</v>
      </c>
      <c r="AT80" s="175">
        <v>0</v>
      </c>
      <c r="AU80" s="175">
        <v>482.91</v>
      </c>
      <c r="AV80" s="175">
        <v>4.646828601602783</v>
      </c>
      <c r="AW80" s="175">
        <v>3.906002070886087</v>
      </c>
      <c r="AX80" s="175">
        <v>113</v>
      </c>
      <c r="AY80" s="175">
        <v>550</v>
      </c>
      <c r="AZ80" s="175">
        <v>0.20545454545454545</v>
      </c>
      <c r="BA80" s="175">
        <v>0.14427070937031095</v>
      </c>
      <c r="BB80" s="175">
        <v>1.050299</v>
      </c>
      <c r="BC80" s="207">
        <v>1023</v>
      </c>
      <c r="BD80" s="175">
        <v>838</v>
      </c>
      <c r="BE80" s="175">
        <v>1.220763723150358</v>
      </c>
      <c r="BF80" s="175">
        <v>0.811856840559265</v>
      </c>
      <c r="BG80" s="175">
        <v>0</v>
      </c>
      <c r="BH80" s="175">
        <v>0</v>
      </c>
      <c r="BI80" s="207">
        <v>0</v>
      </c>
      <c r="BJ80" s="207">
        <v>-538.56</v>
      </c>
      <c r="BK80" s="207">
        <v>-9200.4</v>
      </c>
      <c r="BL80" s="207">
        <v>-628.32</v>
      </c>
      <c r="BM80" s="207">
        <v>0</v>
      </c>
      <c r="BN80" s="207">
        <v>0</v>
      </c>
      <c r="BO80" s="207">
        <v>21867</v>
      </c>
      <c r="BP80" s="207">
        <v>-24919.09811973141</v>
      </c>
      <c r="BQ80" s="207">
        <v>-95504.64</v>
      </c>
      <c r="BR80" s="207">
        <v>-73467.48825489823</v>
      </c>
      <c r="BS80" s="207">
        <v>226638</v>
      </c>
      <c r="BT80" s="207">
        <v>72396</v>
      </c>
      <c r="BU80" s="207">
        <v>170170.74847539567</v>
      </c>
      <c r="BV80" s="207">
        <v>10042.96654919932</v>
      </c>
      <c r="BW80" s="207">
        <v>29392.02557690102</v>
      </c>
      <c r="BX80" s="207">
        <v>99747.90671494628</v>
      </c>
      <c r="BY80" s="207">
        <v>133009.6078486712</v>
      </c>
      <c r="BZ80" s="207">
        <v>219225.60271605232</v>
      </c>
      <c r="CA80" s="207">
        <v>64395.621196392836</v>
      </c>
      <c r="CB80" s="207">
        <v>112596.59676961876</v>
      </c>
      <c r="CC80" s="207">
        <v>201.95999999999998</v>
      </c>
      <c r="CD80" s="207">
        <v>-11689.349516808481</v>
      </c>
      <c r="CE80" s="207">
        <v>56359.38059451182</v>
      </c>
      <c r="CF80" s="207">
        <v>-212863.99752521963</v>
      </c>
      <c r="CG80" s="207">
        <v>117225.69836621852</v>
      </c>
      <c r="CH80" s="207">
        <v>154582.37354268506</v>
      </c>
      <c r="CI80" s="207">
        <v>0</v>
      </c>
      <c r="CJ80" s="207">
        <v>1967782.611462774</v>
      </c>
      <c r="CK80" s="207">
        <v>-455119</v>
      </c>
      <c r="CL80" s="207">
        <v>77781.97</v>
      </c>
      <c r="CM80" s="207">
        <v>17315.18</v>
      </c>
      <c r="CN80" s="207">
        <v>60466.79</v>
      </c>
      <c r="CO80" s="207">
        <v>7307981.943753073</v>
      </c>
      <c r="CP80" s="207">
        <v>8058417.173075441</v>
      </c>
      <c r="CQ80" s="207">
        <v>2309</v>
      </c>
    </row>
    <row r="81" spans="1:95" ht="11.25">
      <c r="A81" s="207">
        <v>240</v>
      </c>
      <c r="B81" s="207" t="s">
        <v>138</v>
      </c>
      <c r="C81" s="207">
        <v>21021</v>
      </c>
      <c r="D81" s="207">
        <v>74231842.03</v>
      </c>
      <c r="E81" s="207">
        <v>32963697.751441255</v>
      </c>
      <c r="F81" s="207">
        <v>5593545.653138305</v>
      </c>
      <c r="G81" s="207">
        <v>112789085.43457957</v>
      </c>
      <c r="H81" s="207">
        <v>3664.46</v>
      </c>
      <c r="I81" s="207">
        <v>77030613.66</v>
      </c>
      <c r="J81" s="207">
        <v>35758471.77457957</v>
      </c>
      <c r="K81" s="207">
        <v>1166745.0427466673</v>
      </c>
      <c r="L81" s="207">
        <v>-2575322.4827124267</v>
      </c>
      <c r="M81" s="207">
        <v>0</v>
      </c>
      <c r="N81" s="207">
        <v>34349894.334613815</v>
      </c>
      <c r="O81" s="207">
        <v>4388141.238255419</v>
      </c>
      <c r="P81" s="207">
        <v>38738035.572869234</v>
      </c>
      <c r="Q81" s="207">
        <v>1097</v>
      </c>
      <c r="R81" s="207">
        <v>218</v>
      </c>
      <c r="S81" s="207">
        <v>1361</v>
      </c>
      <c r="T81" s="207">
        <v>610</v>
      </c>
      <c r="U81" s="207">
        <v>629</v>
      </c>
      <c r="V81" s="207">
        <v>11562</v>
      </c>
      <c r="W81" s="207">
        <v>3126</v>
      </c>
      <c r="X81" s="207">
        <v>1684</v>
      </c>
      <c r="Y81" s="207">
        <v>734</v>
      </c>
      <c r="Z81" s="207">
        <v>28</v>
      </c>
      <c r="AA81" s="207">
        <v>4</v>
      </c>
      <c r="AB81" s="207">
        <v>19982</v>
      </c>
      <c r="AC81" s="207">
        <v>1007</v>
      </c>
      <c r="AD81" s="207">
        <v>5544</v>
      </c>
      <c r="AE81" s="481">
        <v>1.3272942241860506</v>
      </c>
      <c r="AF81" s="207">
        <v>32963697.751441255</v>
      </c>
      <c r="AG81" s="207" t="e">
        <v>#DIV/0!</v>
      </c>
      <c r="AH81" s="207" t="e">
        <v>#DIV/0!</v>
      </c>
      <c r="AI81" s="207" t="e">
        <v>#DIV/0!</v>
      </c>
      <c r="AJ81" s="175">
        <v>1343</v>
      </c>
      <c r="AK81" s="175">
        <v>9033</v>
      </c>
      <c r="AL81" s="175">
        <v>1.5239413083318762</v>
      </c>
      <c r="AM81" s="175">
        <v>1007</v>
      </c>
      <c r="AN81" s="175">
        <v>0.047904476475905046</v>
      </c>
      <c r="AO81" s="175">
        <v>0.04462339736544205</v>
      </c>
      <c r="AP81" s="175">
        <v>0</v>
      </c>
      <c r="AQ81" s="175">
        <v>28</v>
      </c>
      <c r="AR81" s="175">
        <v>4</v>
      </c>
      <c r="AS81" s="175">
        <v>0</v>
      </c>
      <c r="AT81" s="175">
        <v>0</v>
      </c>
      <c r="AU81" s="175">
        <v>95.37</v>
      </c>
      <c r="AV81" s="175">
        <v>220.4152249134948</v>
      </c>
      <c r="AW81" s="175">
        <v>0.08234695288420577</v>
      </c>
      <c r="AX81" s="175">
        <v>851</v>
      </c>
      <c r="AY81" s="175">
        <v>5861</v>
      </c>
      <c r="AZ81" s="175">
        <v>0.14519706534721039</v>
      </c>
      <c r="BA81" s="175">
        <v>0.08401322926297589</v>
      </c>
      <c r="BB81" s="175">
        <v>0.0099</v>
      </c>
      <c r="BC81" s="207">
        <v>8875</v>
      </c>
      <c r="BD81" s="175">
        <v>7265</v>
      </c>
      <c r="BE81" s="175">
        <v>1.2216104611149345</v>
      </c>
      <c r="BF81" s="175">
        <v>0.8127035785238415</v>
      </c>
      <c r="BG81" s="175">
        <v>0</v>
      </c>
      <c r="BH81" s="175">
        <v>4</v>
      </c>
      <c r="BI81" s="207">
        <v>0</v>
      </c>
      <c r="BJ81" s="207">
        <v>-5045.04</v>
      </c>
      <c r="BK81" s="207">
        <v>-86186.09999999999</v>
      </c>
      <c r="BL81" s="207">
        <v>-5885.88</v>
      </c>
      <c r="BM81" s="207">
        <v>0</v>
      </c>
      <c r="BN81" s="207">
        <v>0</v>
      </c>
      <c r="BO81" s="207">
        <v>232014</v>
      </c>
      <c r="BP81" s="207">
        <v>-1207911.4044549225</v>
      </c>
      <c r="BQ81" s="207">
        <v>-894653.76</v>
      </c>
      <c r="BR81" s="207">
        <v>-426000.6102620363</v>
      </c>
      <c r="BS81" s="207">
        <v>1605369</v>
      </c>
      <c r="BT81" s="207">
        <v>494139</v>
      </c>
      <c r="BU81" s="207">
        <v>1234156.566630016</v>
      </c>
      <c r="BV81" s="207">
        <v>53563.42652370573</v>
      </c>
      <c r="BW81" s="207">
        <v>235749.92125511618</v>
      </c>
      <c r="BX81" s="207">
        <v>637343.6350922355</v>
      </c>
      <c r="BY81" s="207">
        <v>895758.6547334746</v>
      </c>
      <c r="BZ81" s="207">
        <v>1519158.180637742</v>
      </c>
      <c r="CA81" s="207">
        <v>410155.71480379323</v>
      </c>
      <c r="CB81" s="207">
        <v>830678.3206041255</v>
      </c>
      <c r="CC81" s="207">
        <v>1891.8899999999999</v>
      </c>
      <c r="CD81" s="207">
        <v>101797.54154330323</v>
      </c>
      <c r="CE81" s="207">
        <v>921145.1917424956</v>
      </c>
      <c r="CF81" s="207">
        <v>-2575322.4827124267</v>
      </c>
      <c r="CG81" s="207">
        <v>990631.5804612287</v>
      </c>
      <c r="CH81" s="207">
        <v>1072589.101523075</v>
      </c>
      <c r="CI81" s="207">
        <v>0</v>
      </c>
      <c r="CJ81" s="207">
        <v>4388141.238255419</v>
      </c>
      <c r="CK81" s="207">
        <v>1030868</v>
      </c>
      <c r="CL81" s="207">
        <v>146020.14</v>
      </c>
      <c r="CM81" s="207">
        <v>265263.1040000001</v>
      </c>
      <c r="CN81" s="207">
        <v>-119242.9640000001</v>
      </c>
      <c r="CO81" s="207">
        <v>39768903.572869234</v>
      </c>
      <c r="CP81" s="207">
        <v>43256041.94261847</v>
      </c>
      <c r="CQ81" s="207">
        <v>21256</v>
      </c>
    </row>
    <row r="82" spans="1:95" ht="11.25">
      <c r="A82" s="207">
        <v>320</v>
      </c>
      <c r="B82" s="207" t="s">
        <v>139</v>
      </c>
      <c r="C82" s="207">
        <v>7370</v>
      </c>
      <c r="D82" s="207">
        <v>26786741.330000002</v>
      </c>
      <c r="E82" s="207">
        <v>12248573.937890846</v>
      </c>
      <c r="F82" s="207">
        <v>3739214.3905191435</v>
      </c>
      <c r="G82" s="207">
        <v>42774529.65840999</v>
      </c>
      <c r="H82" s="207">
        <v>3664.46</v>
      </c>
      <c r="I82" s="207">
        <v>27007070.2</v>
      </c>
      <c r="J82" s="207">
        <v>15767459.458409991</v>
      </c>
      <c r="K82" s="207">
        <v>3478662.697885267</v>
      </c>
      <c r="L82" s="207">
        <v>-212172.16623092187</v>
      </c>
      <c r="M82" s="207">
        <v>0</v>
      </c>
      <c r="N82" s="207">
        <v>19033949.990064338</v>
      </c>
      <c r="O82" s="207">
        <v>4534216.762458442</v>
      </c>
      <c r="P82" s="207">
        <v>23568166.75252278</v>
      </c>
      <c r="Q82" s="207">
        <v>247</v>
      </c>
      <c r="R82" s="207">
        <v>43</v>
      </c>
      <c r="S82" s="207">
        <v>320</v>
      </c>
      <c r="T82" s="207">
        <v>169</v>
      </c>
      <c r="U82" s="207">
        <v>182</v>
      </c>
      <c r="V82" s="207">
        <v>3619</v>
      </c>
      <c r="W82" s="207">
        <v>1497</v>
      </c>
      <c r="X82" s="207">
        <v>942</v>
      </c>
      <c r="Y82" s="207">
        <v>351</v>
      </c>
      <c r="Z82" s="207">
        <v>1</v>
      </c>
      <c r="AA82" s="207">
        <v>1</v>
      </c>
      <c r="AB82" s="207">
        <v>7272</v>
      </c>
      <c r="AC82" s="207">
        <v>96</v>
      </c>
      <c r="AD82" s="207">
        <v>2790</v>
      </c>
      <c r="AE82" s="481">
        <v>1.4067039068819944</v>
      </c>
      <c r="AF82" s="207">
        <v>12248573.937890846</v>
      </c>
      <c r="AG82" s="207" t="e">
        <v>#DIV/0!</v>
      </c>
      <c r="AH82" s="207" t="e">
        <v>#DIV/0!</v>
      </c>
      <c r="AI82" s="207" t="e">
        <v>#DIV/0!</v>
      </c>
      <c r="AJ82" s="175">
        <v>395</v>
      </c>
      <c r="AK82" s="175">
        <v>3034</v>
      </c>
      <c r="AL82" s="175">
        <v>1.3344606070574507</v>
      </c>
      <c r="AM82" s="175">
        <v>96</v>
      </c>
      <c r="AN82" s="175">
        <v>0.013025780189959294</v>
      </c>
      <c r="AO82" s="175">
        <v>0.009744701079496296</v>
      </c>
      <c r="AP82" s="175">
        <v>0</v>
      </c>
      <c r="AQ82" s="175">
        <v>1</v>
      </c>
      <c r="AR82" s="175">
        <v>1</v>
      </c>
      <c r="AS82" s="175">
        <v>0</v>
      </c>
      <c r="AT82" s="175">
        <v>0</v>
      </c>
      <c r="AU82" s="175">
        <v>3504.13</v>
      </c>
      <c r="AV82" s="175">
        <v>2.103232471398036</v>
      </c>
      <c r="AW82" s="175">
        <v>8.629822136992955</v>
      </c>
      <c r="AX82" s="175">
        <v>197</v>
      </c>
      <c r="AY82" s="175">
        <v>1771</v>
      </c>
      <c r="AZ82" s="175">
        <v>0.11123658949745906</v>
      </c>
      <c r="BA82" s="175">
        <v>0.050052753413224564</v>
      </c>
      <c r="BB82" s="175">
        <v>1.350499</v>
      </c>
      <c r="BC82" s="207">
        <v>2238</v>
      </c>
      <c r="BD82" s="175">
        <v>2424</v>
      </c>
      <c r="BE82" s="175">
        <v>0.9232673267326733</v>
      </c>
      <c r="BF82" s="175">
        <v>0.5143604441415802</v>
      </c>
      <c r="BG82" s="175">
        <v>0</v>
      </c>
      <c r="BH82" s="175">
        <v>1</v>
      </c>
      <c r="BI82" s="207">
        <v>0</v>
      </c>
      <c r="BJ82" s="207">
        <v>-1768.8</v>
      </c>
      <c r="BK82" s="207">
        <v>-30216.999999999996</v>
      </c>
      <c r="BL82" s="207">
        <v>-2063.6000000000004</v>
      </c>
      <c r="BM82" s="207">
        <v>0</v>
      </c>
      <c r="BN82" s="207">
        <v>0</v>
      </c>
      <c r="BO82" s="207">
        <v>102751</v>
      </c>
      <c r="BP82" s="207">
        <v>-130006.33457491157</v>
      </c>
      <c r="BQ82" s="207">
        <v>-313667.2</v>
      </c>
      <c r="BR82" s="207">
        <v>174912.97830431908</v>
      </c>
      <c r="BS82" s="207">
        <v>624747</v>
      </c>
      <c r="BT82" s="207">
        <v>198738</v>
      </c>
      <c r="BU82" s="207">
        <v>550889.8707620313</v>
      </c>
      <c r="BV82" s="207">
        <v>29937.85605730105</v>
      </c>
      <c r="BW82" s="207">
        <v>97572.5961422533</v>
      </c>
      <c r="BX82" s="207">
        <v>274827.84891011514</v>
      </c>
      <c r="BY82" s="207">
        <v>359242.98619109433</v>
      </c>
      <c r="BZ82" s="207">
        <v>642421.5521444445</v>
      </c>
      <c r="CA82" s="207">
        <v>183262.9981099569</v>
      </c>
      <c r="CB82" s="207">
        <v>335096.77977004676</v>
      </c>
      <c r="CC82" s="207">
        <v>663.3</v>
      </c>
      <c r="CD82" s="207">
        <v>58891.88349091692</v>
      </c>
      <c r="CE82" s="207">
        <v>720206.0683439897</v>
      </c>
      <c r="CF82" s="207">
        <v>-212172.16623092187</v>
      </c>
      <c r="CG82" s="207">
        <v>375690.6065487536</v>
      </c>
      <c r="CH82" s="207">
        <v>441175.6110886129</v>
      </c>
      <c r="CI82" s="207">
        <v>0</v>
      </c>
      <c r="CJ82" s="207">
        <v>4534216.762458442</v>
      </c>
      <c r="CK82" s="207">
        <v>-368070</v>
      </c>
      <c r="CL82" s="207">
        <v>43696.97</v>
      </c>
      <c r="CM82" s="207">
        <v>178264.55000000002</v>
      </c>
      <c r="CN82" s="207">
        <v>-134567.58000000002</v>
      </c>
      <c r="CO82" s="207">
        <v>23200096.75252278</v>
      </c>
      <c r="CP82" s="207">
        <v>24899080.660731804</v>
      </c>
      <c r="CQ82" s="207">
        <v>7534</v>
      </c>
    </row>
    <row r="83" spans="1:95" ht="11.25">
      <c r="A83" s="207">
        <v>241</v>
      </c>
      <c r="B83" s="207" t="s">
        <v>140</v>
      </c>
      <c r="C83" s="207">
        <v>8147</v>
      </c>
      <c r="D83" s="207">
        <v>29035992.749999996</v>
      </c>
      <c r="E83" s="207">
        <v>9596870.477237863</v>
      </c>
      <c r="F83" s="207">
        <v>1393790.966267944</v>
      </c>
      <c r="G83" s="207">
        <v>40026654.1935058</v>
      </c>
      <c r="H83" s="207">
        <v>3664.46</v>
      </c>
      <c r="I83" s="207">
        <v>29854355.62</v>
      </c>
      <c r="J83" s="207">
        <v>10172298.5735058</v>
      </c>
      <c r="K83" s="207">
        <v>207573.74279778663</v>
      </c>
      <c r="L83" s="207">
        <v>-491897.74304104</v>
      </c>
      <c r="M83" s="207">
        <v>0</v>
      </c>
      <c r="N83" s="207">
        <v>9887974.573262546</v>
      </c>
      <c r="O83" s="207">
        <v>1382075.1556070123</v>
      </c>
      <c r="P83" s="207">
        <v>11270049.72886956</v>
      </c>
      <c r="Q83" s="207">
        <v>498</v>
      </c>
      <c r="R83" s="207">
        <v>95</v>
      </c>
      <c r="S83" s="207">
        <v>600</v>
      </c>
      <c r="T83" s="207">
        <v>314</v>
      </c>
      <c r="U83" s="207">
        <v>298</v>
      </c>
      <c r="V83" s="207">
        <v>4363</v>
      </c>
      <c r="W83" s="207">
        <v>1231</v>
      </c>
      <c r="X83" s="207">
        <v>542</v>
      </c>
      <c r="Y83" s="207">
        <v>206</v>
      </c>
      <c r="Z83" s="207">
        <v>10</v>
      </c>
      <c r="AA83" s="207">
        <v>1</v>
      </c>
      <c r="AB83" s="207">
        <v>8058</v>
      </c>
      <c r="AC83" s="207">
        <v>78</v>
      </c>
      <c r="AD83" s="207">
        <v>1979</v>
      </c>
      <c r="AE83" s="481">
        <v>0.9970491567024113</v>
      </c>
      <c r="AF83" s="207">
        <v>9596870.477237863</v>
      </c>
      <c r="AG83" s="207" t="e">
        <v>#DIV/0!</v>
      </c>
      <c r="AH83" s="207" t="e">
        <v>#DIV/0!</v>
      </c>
      <c r="AI83" s="207" t="e">
        <v>#DIV/0!</v>
      </c>
      <c r="AJ83" s="175">
        <v>363</v>
      </c>
      <c r="AK83" s="175">
        <v>3773</v>
      </c>
      <c r="AL83" s="175">
        <v>0.9861524515614724</v>
      </c>
      <c r="AM83" s="175">
        <v>78</v>
      </c>
      <c r="AN83" s="175">
        <v>0.00957407634712164</v>
      </c>
      <c r="AO83" s="175">
        <v>0.006292997236658643</v>
      </c>
      <c r="AP83" s="175">
        <v>0</v>
      </c>
      <c r="AQ83" s="175">
        <v>10</v>
      </c>
      <c r="AR83" s="175">
        <v>1</v>
      </c>
      <c r="AS83" s="175">
        <v>0</v>
      </c>
      <c r="AT83" s="175">
        <v>0</v>
      </c>
      <c r="AU83" s="175">
        <v>626.35</v>
      </c>
      <c r="AV83" s="175">
        <v>13.007104653947472</v>
      </c>
      <c r="AW83" s="175">
        <v>1.3954313910594043</v>
      </c>
      <c r="AX83" s="175">
        <v>226</v>
      </c>
      <c r="AY83" s="175">
        <v>2477</v>
      </c>
      <c r="AZ83" s="175">
        <v>0.09123940250302785</v>
      </c>
      <c r="BA83" s="175">
        <v>0.03005556641879336</v>
      </c>
      <c r="BB83" s="175">
        <v>0.008983</v>
      </c>
      <c r="BC83" s="207">
        <v>2477</v>
      </c>
      <c r="BD83" s="175">
        <v>3228</v>
      </c>
      <c r="BE83" s="175">
        <v>0.7673482032218092</v>
      </c>
      <c r="BF83" s="175">
        <v>0.3584413206307161</v>
      </c>
      <c r="BG83" s="175">
        <v>0</v>
      </c>
      <c r="BH83" s="175">
        <v>1</v>
      </c>
      <c r="BI83" s="207">
        <v>0</v>
      </c>
      <c r="BJ83" s="207">
        <v>-1955.28</v>
      </c>
      <c r="BK83" s="207">
        <v>-33402.7</v>
      </c>
      <c r="BL83" s="207">
        <v>-2281.1600000000003</v>
      </c>
      <c r="BM83" s="207">
        <v>0</v>
      </c>
      <c r="BN83" s="207">
        <v>0</v>
      </c>
      <c r="BO83" s="207">
        <v>199799</v>
      </c>
      <c r="BP83" s="207">
        <v>-142199.42161578278</v>
      </c>
      <c r="BQ83" s="207">
        <v>-346736.32</v>
      </c>
      <c r="BR83" s="207">
        <v>-51259.728174733</v>
      </c>
      <c r="BS83" s="207">
        <v>609472</v>
      </c>
      <c r="BT83" s="207">
        <v>182802</v>
      </c>
      <c r="BU83" s="207">
        <v>410209.6764106429</v>
      </c>
      <c r="BV83" s="207">
        <v>10390.550986583485</v>
      </c>
      <c r="BW83" s="207">
        <v>43911.34983994796</v>
      </c>
      <c r="BX83" s="207">
        <v>190401.23360594365</v>
      </c>
      <c r="BY83" s="207">
        <v>342087.0324152052</v>
      </c>
      <c r="BZ83" s="207">
        <v>603978.3826312033</v>
      </c>
      <c r="CA83" s="207">
        <v>150680.27355743415</v>
      </c>
      <c r="CB83" s="207">
        <v>289743.7860859026</v>
      </c>
      <c r="CC83" s="207">
        <v>733.23</v>
      </c>
      <c r="CD83" s="207">
        <v>28371.6432735361</v>
      </c>
      <c r="CE83" s="207">
        <v>537265.5685747429</v>
      </c>
      <c r="CF83" s="207">
        <v>-491897.74304104</v>
      </c>
      <c r="CG83" s="207">
        <v>351555.89347593975</v>
      </c>
      <c r="CH83" s="207">
        <v>386350.4013672067</v>
      </c>
      <c r="CI83" s="207">
        <v>0</v>
      </c>
      <c r="CJ83" s="207">
        <v>1382075.1556070123</v>
      </c>
      <c r="CK83" s="207">
        <v>-650983</v>
      </c>
      <c r="CL83" s="207">
        <v>208600.2</v>
      </c>
      <c r="CM83" s="207">
        <v>322471.368</v>
      </c>
      <c r="CN83" s="207">
        <v>-113871.168</v>
      </c>
      <c r="CO83" s="207">
        <v>10619066.72886956</v>
      </c>
      <c r="CP83" s="207">
        <v>12763298.268688677</v>
      </c>
      <c r="CQ83" s="207">
        <v>8296</v>
      </c>
    </row>
    <row r="84" spans="1:95" ht="11.25">
      <c r="A84" s="207">
        <v>322</v>
      </c>
      <c r="B84" s="207" t="s">
        <v>141</v>
      </c>
      <c r="C84" s="207">
        <v>6724</v>
      </c>
      <c r="D84" s="207">
        <v>25442122.490000002</v>
      </c>
      <c r="E84" s="207">
        <v>7822123.796675387</v>
      </c>
      <c r="F84" s="207">
        <v>5731265.139244813</v>
      </c>
      <c r="G84" s="207">
        <v>38995511.4259202</v>
      </c>
      <c r="H84" s="207">
        <v>3664.46</v>
      </c>
      <c r="I84" s="207">
        <v>24639829.04</v>
      </c>
      <c r="J84" s="207">
        <v>14355682.385920204</v>
      </c>
      <c r="K84" s="207">
        <v>691590.3924403498</v>
      </c>
      <c r="L84" s="207">
        <v>-296933.04620184563</v>
      </c>
      <c r="M84" s="207">
        <v>0</v>
      </c>
      <c r="N84" s="207">
        <v>14750339.732158707</v>
      </c>
      <c r="O84" s="207">
        <v>5005339.360561299</v>
      </c>
      <c r="P84" s="207">
        <v>19755679.092720006</v>
      </c>
      <c r="Q84" s="207">
        <v>294</v>
      </c>
      <c r="R84" s="207">
        <v>54</v>
      </c>
      <c r="S84" s="207">
        <v>363</v>
      </c>
      <c r="T84" s="207">
        <v>214</v>
      </c>
      <c r="U84" s="207">
        <v>187</v>
      </c>
      <c r="V84" s="207">
        <v>3394</v>
      </c>
      <c r="W84" s="207">
        <v>1225</v>
      </c>
      <c r="X84" s="207">
        <v>664</v>
      </c>
      <c r="Y84" s="207">
        <v>329</v>
      </c>
      <c r="Z84" s="207">
        <v>4604</v>
      </c>
      <c r="AA84" s="207">
        <v>0</v>
      </c>
      <c r="AB84" s="207">
        <v>1898</v>
      </c>
      <c r="AC84" s="207">
        <v>222</v>
      </c>
      <c r="AD84" s="207">
        <v>2218</v>
      </c>
      <c r="AE84" s="481">
        <v>0.9846494295248245</v>
      </c>
      <c r="AF84" s="207">
        <v>7822123.796675387</v>
      </c>
      <c r="AG84" s="207" t="e">
        <v>#DIV/0!</v>
      </c>
      <c r="AH84" s="207" t="e">
        <v>#DIV/0!</v>
      </c>
      <c r="AI84" s="207" t="e">
        <v>#DIV/0!</v>
      </c>
      <c r="AJ84" s="175">
        <v>230</v>
      </c>
      <c r="AK84" s="175">
        <v>2854</v>
      </c>
      <c r="AL84" s="175">
        <v>0.8260343473666365</v>
      </c>
      <c r="AM84" s="175">
        <v>222</v>
      </c>
      <c r="AN84" s="175">
        <v>0.03301606186793575</v>
      </c>
      <c r="AO84" s="175">
        <v>0.029734982757472755</v>
      </c>
      <c r="AP84" s="175">
        <v>3</v>
      </c>
      <c r="AQ84" s="175">
        <v>4604</v>
      </c>
      <c r="AR84" s="175">
        <v>0</v>
      </c>
      <c r="AS84" s="175">
        <v>1</v>
      </c>
      <c r="AT84" s="175">
        <v>0</v>
      </c>
      <c r="AU84" s="175">
        <v>686.84</v>
      </c>
      <c r="AV84" s="175">
        <v>9.789761807699026</v>
      </c>
      <c r="AW84" s="175">
        <v>1.8540310272553249</v>
      </c>
      <c r="AX84" s="175">
        <v>363</v>
      </c>
      <c r="AY84" s="175">
        <v>1881</v>
      </c>
      <c r="AZ84" s="175">
        <v>0.19298245614035087</v>
      </c>
      <c r="BA84" s="175">
        <v>0.13179862005611637</v>
      </c>
      <c r="BB84" s="175">
        <v>0.330533</v>
      </c>
      <c r="BC84" s="207">
        <v>2262</v>
      </c>
      <c r="BD84" s="175">
        <v>2552</v>
      </c>
      <c r="BE84" s="175">
        <v>0.8863636363636364</v>
      </c>
      <c r="BF84" s="175">
        <v>0.47745675377254326</v>
      </c>
      <c r="BG84" s="175">
        <v>0</v>
      </c>
      <c r="BH84" s="175">
        <v>0</v>
      </c>
      <c r="BI84" s="207">
        <v>0</v>
      </c>
      <c r="BJ84" s="207">
        <v>-1613.76</v>
      </c>
      <c r="BK84" s="207">
        <v>-27568.399999999998</v>
      </c>
      <c r="BL84" s="207">
        <v>-1882.7200000000003</v>
      </c>
      <c r="BM84" s="207">
        <v>0</v>
      </c>
      <c r="BN84" s="207">
        <v>0</v>
      </c>
      <c r="BO84" s="207">
        <v>-166132</v>
      </c>
      <c r="BP84" s="207">
        <v>-196591.34222923464</v>
      </c>
      <c r="BQ84" s="207">
        <v>-286173.44</v>
      </c>
      <c r="BR84" s="207">
        <v>440505.1809879467</v>
      </c>
      <c r="BS84" s="207">
        <v>618448</v>
      </c>
      <c r="BT84" s="207">
        <v>210429</v>
      </c>
      <c r="BU84" s="207">
        <v>506104.77098058606</v>
      </c>
      <c r="BV84" s="207">
        <v>23784.463471682662</v>
      </c>
      <c r="BW84" s="207">
        <v>39674.23806238849</v>
      </c>
      <c r="BX84" s="207">
        <v>215753.55380291198</v>
      </c>
      <c r="BY84" s="207">
        <v>259976.03473993632</v>
      </c>
      <c r="BZ84" s="207">
        <v>608328.9476458203</v>
      </c>
      <c r="CA84" s="207">
        <v>197346.3451692307</v>
      </c>
      <c r="CB84" s="207">
        <v>324896.3452087443</v>
      </c>
      <c r="CC84" s="207">
        <v>605.16</v>
      </c>
      <c r="CD84" s="207">
        <v>7565.754596244784</v>
      </c>
      <c r="CE84" s="207">
        <v>631700.1760273889</v>
      </c>
      <c r="CF84" s="207">
        <v>-296933.04620184563</v>
      </c>
      <c r="CG84" s="207">
        <v>342499.3204431974</v>
      </c>
      <c r="CH84" s="207">
        <v>444761.8890594008</v>
      </c>
      <c r="CI84" s="207">
        <v>0</v>
      </c>
      <c r="CJ84" s="207">
        <v>5005339.360561299</v>
      </c>
      <c r="CK84" s="207">
        <v>-332426</v>
      </c>
      <c r="CL84" s="207">
        <v>171856.57</v>
      </c>
      <c r="CM84" s="207">
        <v>99596.37</v>
      </c>
      <c r="CN84" s="207">
        <v>72260.20000000001</v>
      </c>
      <c r="CO84" s="207">
        <v>19423253.092720006</v>
      </c>
      <c r="CP84" s="207">
        <v>21307102.71208089</v>
      </c>
      <c r="CQ84" s="207">
        <v>6793</v>
      </c>
    </row>
    <row r="85" spans="1:95" ht="11.25">
      <c r="A85" s="207">
        <v>244</v>
      </c>
      <c r="B85" s="207" t="s">
        <v>142</v>
      </c>
      <c r="C85" s="207">
        <v>17923</v>
      </c>
      <c r="D85" s="207">
        <v>67255481.73</v>
      </c>
      <c r="E85" s="207">
        <v>18286793.573163394</v>
      </c>
      <c r="F85" s="207">
        <v>1863922.656570001</v>
      </c>
      <c r="G85" s="207">
        <v>87406197.9597334</v>
      </c>
      <c r="H85" s="207">
        <v>3664.46</v>
      </c>
      <c r="I85" s="207">
        <v>65678116.58</v>
      </c>
      <c r="J85" s="207">
        <v>21728081.3797334</v>
      </c>
      <c r="K85" s="207">
        <v>463433.32472342596</v>
      </c>
      <c r="L85" s="207">
        <v>-1792663.1194892996</v>
      </c>
      <c r="M85" s="207">
        <v>0</v>
      </c>
      <c r="N85" s="207">
        <v>20398851.584967524</v>
      </c>
      <c r="O85" s="207">
        <v>2348358.831267249</v>
      </c>
      <c r="P85" s="207">
        <v>22747210.416234773</v>
      </c>
      <c r="Q85" s="207">
        <v>1560</v>
      </c>
      <c r="R85" s="207">
        <v>314</v>
      </c>
      <c r="S85" s="207">
        <v>1880</v>
      </c>
      <c r="T85" s="207">
        <v>853</v>
      </c>
      <c r="U85" s="207">
        <v>749</v>
      </c>
      <c r="V85" s="207">
        <v>9817</v>
      </c>
      <c r="W85" s="207">
        <v>1641</v>
      </c>
      <c r="X85" s="207">
        <v>896</v>
      </c>
      <c r="Y85" s="207">
        <v>213</v>
      </c>
      <c r="Z85" s="207">
        <v>28</v>
      </c>
      <c r="AA85" s="207">
        <v>8</v>
      </c>
      <c r="AB85" s="207">
        <v>17664</v>
      </c>
      <c r="AC85" s="207">
        <v>223</v>
      </c>
      <c r="AD85" s="207">
        <v>2750</v>
      </c>
      <c r="AE85" s="481">
        <v>0.863597767668945</v>
      </c>
      <c r="AF85" s="207">
        <v>18286793.573163394</v>
      </c>
      <c r="AG85" s="207" t="e">
        <v>#DIV/0!</v>
      </c>
      <c r="AH85" s="207" t="e">
        <v>#DIV/0!</v>
      </c>
      <c r="AI85" s="207" t="e">
        <v>#DIV/0!</v>
      </c>
      <c r="AJ85" s="175">
        <v>702</v>
      </c>
      <c r="AK85" s="175">
        <v>8206</v>
      </c>
      <c r="AL85" s="175">
        <v>0.8768591503692076</v>
      </c>
      <c r="AM85" s="175">
        <v>223</v>
      </c>
      <c r="AN85" s="175">
        <v>0.012442113485465603</v>
      </c>
      <c r="AO85" s="175">
        <v>0.009161034375002607</v>
      </c>
      <c r="AP85" s="175">
        <v>0</v>
      </c>
      <c r="AQ85" s="175">
        <v>28</v>
      </c>
      <c r="AR85" s="175">
        <v>8</v>
      </c>
      <c r="AS85" s="175">
        <v>0</v>
      </c>
      <c r="AT85" s="175">
        <v>0</v>
      </c>
      <c r="AU85" s="175">
        <v>110.11</v>
      </c>
      <c r="AV85" s="175">
        <v>162.7735900463173</v>
      </c>
      <c r="AW85" s="175">
        <v>0.111507782901074</v>
      </c>
      <c r="AX85" s="175">
        <v>375</v>
      </c>
      <c r="AY85" s="175">
        <v>5936</v>
      </c>
      <c r="AZ85" s="175">
        <v>0.06317385444743935</v>
      </c>
      <c r="BA85" s="175">
        <v>0.001990018363204858</v>
      </c>
      <c r="BB85" s="175">
        <v>0</v>
      </c>
      <c r="BC85" s="207">
        <v>5753</v>
      </c>
      <c r="BD85" s="175">
        <v>7167</v>
      </c>
      <c r="BE85" s="175">
        <v>0.8027068508441468</v>
      </c>
      <c r="BF85" s="175">
        <v>0.39379996825305374</v>
      </c>
      <c r="BG85" s="175">
        <v>0</v>
      </c>
      <c r="BH85" s="175">
        <v>8</v>
      </c>
      <c r="BI85" s="207">
        <v>0</v>
      </c>
      <c r="BJ85" s="207">
        <v>-4301.5199999999995</v>
      </c>
      <c r="BK85" s="207">
        <v>-73484.29999999999</v>
      </c>
      <c r="BL85" s="207">
        <v>-5018.4400000000005</v>
      </c>
      <c r="BM85" s="207">
        <v>0</v>
      </c>
      <c r="BN85" s="207">
        <v>0</v>
      </c>
      <c r="BO85" s="207">
        <v>263490</v>
      </c>
      <c r="BP85" s="207">
        <v>-564943.8998830498</v>
      </c>
      <c r="BQ85" s="207">
        <v>-762802.88</v>
      </c>
      <c r="BR85" s="207">
        <v>-424852.51182803884</v>
      </c>
      <c r="BS85" s="207">
        <v>919994</v>
      </c>
      <c r="BT85" s="207">
        <v>296488</v>
      </c>
      <c r="BU85" s="207">
        <v>624369.9919575528</v>
      </c>
      <c r="BV85" s="207">
        <v>3533.460709059112</v>
      </c>
      <c r="BW85" s="207">
        <v>-19829.64682387213</v>
      </c>
      <c r="BX85" s="207">
        <v>344264.08235237317</v>
      </c>
      <c r="BY85" s="207">
        <v>711241.7854187968</v>
      </c>
      <c r="BZ85" s="207">
        <v>1092587.5394141623</v>
      </c>
      <c r="CA85" s="207">
        <v>278912.67665120785</v>
      </c>
      <c r="CB85" s="207">
        <v>571050.6286957175</v>
      </c>
      <c r="CC85" s="207">
        <v>1613.07</v>
      </c>
      <c r="CD85" s="207">
        <v>97870.91738614051</v>
      </c>
      <c r="CE85" s="207">
        <v>723557.7903937498</v>
      </c>
      <c r="CF85" s="207">
        <v>-1792663.1194892996</v>
      </c>
      <c r="CG85" s="207">
        <v>767692.5448356482</v>
      </c>
      <c r="CH85" s="207">
        <v>800738.6374351232</v>
      </c>
      <c r="CI85" s="207">
        <v>0</v>
      </c>
      <c r="CJ85" s="207">
        <v>2348358.831267249</v>
      </c>
      <c r="CK85" s="207">
        <v>-704056</v>
      </c>
      <c r="CL85" s="207">
        <v>285155.11</v>
      </c>
      <c r="CM85" s="207">
        <v>432252.336</v>
      </c>
      <c r="CN85" s="207">
        <v>-147097.22600000002</v>
      </c>
      <c r="CO85" s="207">
        <v>22043154.416234773</v>
      </c>
      <c r="CP85" s="207">
        <v>23694048.158103794</v>
      </c>
      <c r="CQ85" s="207">
        <v>17535</v>
      </c>
    </row>
    <row r="86" spans="1:95" ht="11.25">
      <c r="A86" s="207">
        <v>245</v>
      </c>
      <c r="B86" s="207" t="s">
        <v>143</v>
      </c>
      <c r="C86" s="207">
        <v>36254</v>
      </c>
      <c r="D86" s="207">
        <v>116503217.44</v>
      </c>
      <c r="E86" s="207">
        <v>37451137.792056635</v>
      </c>
      <c r="F86" s="207">
        <v>12578853.079422917</v>
      </c>
      <c r="G86" s="207">
        <v>166533208.31147954</v>
      </c>
      <c r="H86" s="207">
        <v>3664.46</v>
      </c>
      <c r="I86" s="207">
        <v>132851332.84</v>
      </c>
      <c r="J86" s="207">
        <v>33681875.471479535</v>
      </c>
      <c r="K86" s="207">
        <v>801856.7472884088</v>
      </c>
      <c r="L86" s="207">
        <v>-8457649.157073386</v>
      </c>
      <c r="M86" s="207">
        <v>0</v>
      </c>
      <c r="N86" s="207">
        <v>26026083.061694555</v>
      </c>
      <c r="O86" s="207">
        <v>-5033200.70830115</v>
      </c>
      <c r="P86" s="207">
        <v>20992882.353393406</v>
      </c>
      <c r="Q86" s="207">
        <v>2257</v>
      </c>
      <c r="R86" s="207">
        <v>377</v>
      </c>
      <c r="S86" s="207">
        <v>2572</v>
      </c>
      <c r="T86" s="207">
        <v>1194</v>
      </c>
      <c r="U86" s="207">
        <v>1200</v>
      </c>
      <c r="V86" s="207">
        <v>21751</v>
      </c>
      <c r="W86" s="207">
        <v>4362</v>
      </c>
      <c r="X86" s="207">
        <v>1943</v>
      </c>
      <c r="Y86" s="207">
        <v>598</v>
      </c>
      <c r="Z86" s="207">
        <v>465</v>
      </c>
      <c r="AA86" s="207">
        <v>0</v>
      </c>
      <c r="AB86" s="207">
        <v>31897</v>
      </c>
      <c r="AC86" s="207">
        <v>3892</v>
      </c>
      <c r="AD86" s="207">
        <v>6903</v>
      </c>
      <c r="AE86" s="481">
        <v>0.8743669618990828</v>
      </c>
      <c r="AF86" s="207">
        <v>37451137.792056635</v>
      </c>
      <c r="AG86" s="207" t="e">
        <v>#DIV/0!</v>
      </c>
      <c r="AH86" s="207" t="e">
        <v>#DIV/0!</v>
      </c>
      <c r="AI86" s="207" t="e">
        <v>#DIV/0!</v>
      </c>
      <c r="AJ86" s="175">
        <v>1660</v>
      </c>
      <c r="AK86" s="175">
        <v>18138</v>
      </c>
      <c r="AL86" s="175">
        <v>0.9380865934737236</v>
      </c>
      <c r="AM86" s="175">
        <v>3892</v>
      </c>
      <c r="AN86" s="175">
        <v>0.10735367131902687</v>
      </c>
      <c r="AO86" s="175">
        <v>0.10407259220856388</v>
      </c>
      <c r="AP86" s="175">
        <v>0</v>
      </c>
      <c r="AQ86" s="175">
        <v>465</v>
      </c>
      <c r="AR86" s="175">
        <v>0</v>
      </c>
      <c r="AS86" s="175">
        <v>0</v>
      </c>
      <c r="AT86" s="175">
        <v>0</v>
      </c>
      <c r="AU86" s="175">
        <v>30.63</v>
      </c>
      <c r="AV86" s="175">
        <v>1183.6108390466864</v>
      </c>
      <c r="AW86" s="175">
        <v>0.015334873205057935</v>
      </c>
      <c r="AX86" s="175">
        <v>2270</v>
      </c>
      <c r="AY86" s="175">
        <v>11805</v>
      </c>
      <c r="AZ86" s="175">
        <v>0.19229140194832697</v>
      </c>
      <c r="BA86" s="175">
        <v>0.13110756586409247</v>
      </c>
      <c r="BB86" s="175">
        <v>0</v>
      </c>
      <c r="BC86" s="207">
        <v>11959</v>
      </c>
      <c r="BD86" s="175">
        <v>16036</v>
      </c>
      <c r="BE86" s="175">
        <v>0.7457595410326765</v>
      </c>
      <c r="BF86" s="175">
        <v>0.3368526584415834</v>
      </c>
      <c r="BG86" s="175">
        <v>0</v>
      </c>
      <c r="BH86" s="175">
        <v>0</v>
      </c>
      <c r="BI86" s="207">
        <v>0</v>
      </c>
      <c r="BJ86" s="207">
        <v>-8700.96</v>
      </c>
      <c r="BK86" s="207">
        <v>-148641.4</v>
      </c>
      <c r="BL86" s="207">
        <v>-10151.12</v>
      </c>
      <c r="BM86" s="207">
        <v>0</v>
      </c>
      <c r="BN86" s="207">
        <v>0</v>
      </c>
      <c r="BO86" s="207">
        <v>-804283</v>
      </c>
      <c r="BP86" s="207">
        <v>-4611164.901352091</v>
      </c>
      <c r="BQ86" s="207">
        <v>-1542970.24</v>
      </c>
      <c r="BR86" s="207">
        <v>-443347.1452234015</v>
      </c>
      <c r="BS86" s="207">
        <v>1849095</v>
      </c>
      <c r="BT86" s="207">
        <v>688975</v>
      </c>
      <c r="BU86" s="207">
        <v>1471577.4084279276</v>
      </c>
      <c r="BV86" s="207">
        <v>31452.156286973168</v>
      </c>
      <c r="BW86" s="207">
        <v>-7625.718145323078</v>
      </c>
      <c r="BX86" s="207">
        <v>604880.6672849297</v>
      </c>
      <c r="BY86" s="207">
        <v>1576612.466004551</v>
      </c>
      <c r="BZ86" s="207">
        <v>2363461.9138938366</v>
      </c>
      <c r="CA86" s="207">
        <v>782339.1932122004</v>
      </c>
      <c r="CB86" s="207">
        <v>1291310.6468326058</v>
      </c>
      <c r="CC86" s="207">
        <v>3262.8599999999997</v>
      </c>
      <c r="CD86" s="207">
        <v>-153704.06522452366</v>
      </c>
      <c r="CE86" s="207">
        <v>100488.72427870487</v>
      </c>
      <c r="CF86" s="207">
        <v>-8457649.157073386</v>
      </c>
      <c r="CG86" s="207">
        <v>1462668.61472663</v>
      </c>
      <c r="CH86" s="207">
        <v>1811877.617942161</v>
      </c>
      <c r="CI86" s="207">
        <v>0</v>
      </c>
      <c r="CJ86" s="207">
        <v>-5033200.70830115</v>
      </c>
      <c r="CK86" s="207">
        <v>-3712572</v>
      </c>
      <c r="CL86" s="207">
        <v>410656.08000000013</v>
      </c>
      <c r="CM86" s="207">
        <v>1555134.942</v>
      </c>
      <c r="CN86" s="207">
        <v>-1144478.862</v>
      </c>
      <c r="CO86" s="207">
        <v>17280310.353393406</v>
      </c>
      <c r="CP86" s="207">
        <v>21560399.917369664</v>
      </c>
      <c r="CQ86" s="207">
        <v>35554</v>
      </c>
    </row>
    <row r="87" spans="1:95" ht="11.25">
      <c r="A87" s="207">
        <v>249</v>
      </c>
      <c r="B87" s="207" t="s">
        <v>144</v>
      </c>
      <c r="C87" s="207">
        <v>9762</v>
      </c>
      <c r="D87" s="207">
        <v>36340188.08</v>
      </c>
      <c r="E87" s="207">
        <v>14782906.729791688</v>
      </c>
      <c r="F87" s="207">
        <v>2527248.3458926375</v>
      </c>
      <c r="G87" s="207">
        <v>53650343.15568432</v>
      </c>
      <c r="H87" s="207">
        <v>3664.46</v>
      </c>
      <c r="I87" s="207">
        <v>35772458.52</v>
      </c>
      <c r="J87" s="207">
        <v>17877884.63568432</v>
      </c>
      <c r="K87" s="207">
        <v>515151.8271731454</v>
      </c>
      <c r="L87" s="207">
        <v>-138267.67638512142</v>
      </c>
      <c r="M87" s="207">
        <v>0</v>
      </c>
      <c r="N87" s="207">
        <v>18254768.786472343</v>
      </c>
      <c r="O87" s="207">
        <v>6368320.08179655</v>
      </c>
      <c r="P87" s="207">
        <v>24623088.868268892</v>
      </c>
      <c r="Q87" s="207">
        <v>483</v>
      </c>
      <c r="R87" s="207">
        <v>88</v>
      </c>
      <c r="S87" s="207">
        <v>594</v>
      </c>
      <c r="T87" s="207">
        <v>301</v>
      </c>
      <c r="U87" s="207">
        <v>257</v>
      </c>
      <c r="V87" s="207">
        <v>4856</v>
      </c>
      <c r="W87" s="207">
        <v>1825</v>
      </c>
      <c r="X87" s="207">
        <v>955</v>
      </c>
      <c r="Y87" s="207">
        <v>403</v>
      </c>
      <c r="Z87" s="207">
        <v>14</v>
      </c>
      <c r="AA87" s="207">
        <v>0</v>
      </c>
      <c r="AB87" s="207">
        <v>9553</v>
      </c>
      <c r="AC87" s="207">
        <v>195</v>
      </c>
      <c r="AD87" s="207">
        <v>3183</v>
      </c>
      <c r="AE87" s="481">
        <v>1.2817569673565132</v>
      </c>
      <c r="AF87" s="207">
        <v>14782906.729791688</v>
      </c>
      <c r="AG87" s="207" t="e">
        <v>#DIV/0!</v>
      </c>
      <c r="AH87" s="207" t="e">
        <v>#DIV/0!</v>
      </c>
      <c r="AI87" s="207" t="e">
        <v>#DIV/0!</v>
      </c>
      <c r="AJ87" s="175">
        <v>427</v>
      </c>
      <c r="AK87" s="175">
        <v>4035</v>
      </c>
      <c r="AL87" s="175">
        <v>1.084697339252336</v>
      </c>
      <c r="AM87" s="175">
        <v>195</v>
      </c>
      <c r="AN87" s="175">
        <v>0.01997541487400123</v>
      </c>
      <c r="AO87" s="175">
        <v>0.016694335763538234</v>
      </c>
      <c r="AP87" s="175">
        <v>0</v>
      </c>
      <c r="AQ87" s="175">
        <v>14</v>
      </c>
      <c r="AR87" s="175">
        <v>0</v>
      </c>
      <c r="AS87" s="175">
        <v>0</v>
      </c>
      <c r="AT87" s="175">
        <v>0</v>
      </c>
      <c r="AU87" s="175">
        <v>1257.97</v>
      </c>
      <c r="AV87" s="175">
        <v>7.760121465535744</v>
      </c>
      <c r="AW87" s="175">
        <v>2.338948200942895</v>
      </c>
      <c r="AX87" s="175">
        <v>362</v>
      </c>
      <c r="AY87" s="175">
        <v>2562</v>
      </c>
      <c r="AZ87" s="175">
        <v>0.141295862607338</v>
      </c>
      <c r="BA87" s="175">
        <v>0.08011202652310351</v>
      </c>
      <c r="BB87" s="175">
        <v>0.0792</v>
      </c>
      <c r="BC87" s="207">
        <v>3249</v>
      </c>
      <c r="BD87" s="175">
        <v>3414</v>
      </c>
      <c r="BE87" s="175">
        <v>0.9516695957820738</v>
      </c>
      <c r="BF87" s="175">
        <v>0.5427627131909807</v>
      </c>
      <c r="BG87" s="175">
        <v>0</v>
      </c>
      <c r="BH87" s="175">
        <v>0</v>
      </c>
      <c r="BI87" s="207">
        <v>0</v>
      </c>
      <c r="BJ87" s="207">
        <v>-2342.88</v>
      </c>
      <c r="BK87" s="207">
        <v>-40024.2</v>
      </c>
      <c r="BL87" s="207">
        <v>-2733.36</v>
      </c>
      <c r="BM87" s="207">
        <v>0</v>
      </c>
      <c r="BN87" s="207">
        <v>0</v>
      </c>
      <c r="BO87" s="207">
        <v>189982</v>
      </c>
      <c r="BP87" s="207">
        <v>-576049.8775440779</v>
      </c>
      <c r="BQ87" s="207">
        <v>-415470.72000000003</v>
      </c>
      <c r="BR87" s="207">
        <v>817469.7983167842</v>
      </c>
      <c r="BS87" s="207">
        <v>840543</v>
      </c>
      <c r="BT87" s="207">
        <v>275658</v>
      </c>
      <c r="BU87" s="207">
        <v>616042.5769579562</v>
      </c>
      <c r="BV87" s="207">
        <v>27456.298720062765</v>
      </c>
      <c r="BW87" s="207">
        <v>-5142.00613193496</v>
      </c>
      <c r="BX87" s="207">
        <v>332187.6762118307</v>
      </c>
      <c r="BY87" s="207">
        <v>495814.7213768481</v>
      </c>
      <c r="BZ87" s="207">
        <v>841513.2411016648</v>
      </c>
      <c r="CA87" s="207">
        <v>232149.0422632222</v>
      </c>
      <c r="CB87" s="207">
        <v>434604.91427646816</v>
      </c>
      <c r="CC87" s="207">
        <v>878.5799999999999</v>
      </c>
      <c r="CD87" s="207">
        <v>11363.020061339732</v>
      </c>
      <c r="CE87" s="207">
        <v>1500571.1411589563</v>
      </c>
      <c r="CF87" s="207">
        <v>-138267.67638512142</v>
      </c>
      <c r="CG87" s="207">
        <v>471213.3627808322</v>
      </c>
      <c r="CH87" s="207">
        <v>567187.2135869425</v>
      </c>
      <c r="CI87" s="207">
        <v>0</v>
      </c>
      <c r="CJ87" s="207">
        <v>6368320.08179655</v>
      </c>
      <c r="CK87" s="207">
        <v>128240</v>
      </c>
      <c r="CL87" s="207">
        <v>166334.80000000002</v>
      </c>
      <c r="CM87" s="207">
        <v>96869.56999999999</v>
      </c>
      <c r="CN87" s="207">
        <v>69465.23000000003</v>
      </c>
      <c r="CO87" s="207">
        <v>24751328.868268892</v>
      </c>
      <c r="CP87" s="207">
        <v>27050492.0632865</v>
      </c>
      <c r="CQ87" s="207">
        <v>9919</v>
      </c>
    </row>
    <row r="88" spans="1:95" ht="11.25">
      <c r="A88" s="207">
        <v>250</v>
      </c>
      <c r="B88" s="207" t="s">
        <v>145</v>
      </c>
      <c r="C88" s="207">
        <v>1910</v>
      </c>
      <c r="D88" s="207">
        <v>7150827.949999999</v>
      </c>
      <c r="E88" s="207">
        <v>3167858.997905326</v>
      </c>
      <c r="F88" s="207">
        <v>548668.8587738232</v>
      </c>
      <c r="G88" s="207">
        <v>10867355.806679148</v>
      </c>
      <c r="H88" s="207">
        <v>3664.46</v>
      </c>
      <c r="I88" s="207">
        <v>6999118.6</v>
      </c>
      <c r="J88" s="207">
        <v>3868237.2066791486</v>
      </c>
      <c r="K88" s="207">
        <v>281691.1409333578</v>
      </c>
      <c r="L88" s="207">
        <v>-69888.8825228147</v>
      </c>
      <c r="M88" s="207">
        <v>0</v>
      </c>
      <c r="N88" s="207">
        <v>4080039.4650896913</v>
      </c>
      <c r="O88" s="207">
        <v>2019190.0013221835</v>
      </c>
      <c r="P88" s="207">
        <v>6099229.466411875</v>
      </c>
      <c r="Q88" s="207">
        <v>86</v>
      </c>
      <c r="R88" s="207">
        <v>22</v>
      </c>
      <c r="S88" s="207">
        <v>105</v>
      </c>
      <c r="T88" s="207">
        <v>56</v>
      </c>
      <c r="U88" s="207">
        <v>56</v>
      </c>
      <c r="V88" s="207">
        <v>997</v>
      </c>
      <c r="W88" s="207">
        <v>316</v>
      </c>
      <c r="X88" s="207">
        <v>181</v>
      </c>
      <c r="Y88" s="207">
        <v>91</v>
      </c>
      <c r="Z88" s="207">
        <v>0</v>
      </c>
      <c r="AA88" s="207">
        <v>0</v>
      </c>
      <c r="AB88" s="207">
        <v>1886</v>
      </c>
      <c r="AC88" s="207">
        <v>24</v>
      </c>
      <c r="AD88" s="207">
        <v>588</v>
      </c>
      <c r="AE88" s="481">
        <v>1.403838436132956</v>
      </c>
      <c r="AF88" s="207">
        <v>3167858.997905326</v>
      </c>
      <c r="AG88" s="207" t="e">
        <v>#DIV/0!</v>
      </c>
      <c r="AH88" s="207" t="e">
        <v>#DIV/0!</v>
      </c>
      <c r="AI88" s="207" t="e">
        <v>#DIV/0!</v>
      </c>
      <c r="AJ88" s="175">
        <v>70</v>
      </c>
      <c r="AK88" s="175">
        <v>847</v>
      </c>
      <c r="AL88" s="175">
        <v>0.8471081665053469</v>
      </c>
      <c r="AM88" s="175">
        <v>24</v>
      </c>
      <c r="AN88" s="175">
        <v>0.012565445026178011</v>
      </c>
      <c r="AO88" s="175">
        <v>0.009284365915715014</v>
      </c>
      <c r="AP88" s="175">
        <v>0</v>
      </c>
      <c r="AQ88" s="175">
        <v>0</v>
      </c>
      <c r="AR88" s="175">
        <v>0</v>
      </c>
      <c r="AS88" s="175">
        <v>0</v>
      </c>
      <c r="AT88" s="175">
        <v>0</v>
      </c>
      <c r="AU88" s="175">
        <v>357.11</v>
      </c>
      <c r="AV88" s="175">
        <v>5.348492061269637</v>
      </c>
      <c r="AW88" s="175">
        <v>3.3935774668803678</v>
      </c>
      <c r="AX88" s="175">
        <v>101</v>
      </c>
      <c r="AY88" s="175">
        <v>512</v>
      </c>
      <c r="AZ88" s="175">
        <v>0.197265625</v>
      </c>
      <c r="BA88" s="175">
        <v>0.1360817889157655</v>
      </c>
      <c r="BB88" s="175">
        <v>0.529932</v>
      </c>
      <c r="BC88" s="207">
        <v>650</v>
      </c>
      <c r="BD88" s="175">
        <v>715</v>
      </c>
      <c r="BE88" s="175">
        <v>0.9090909090909091</v>
      </c>
      <c r="BF88" s="175">
        <v>0.500184026499816</v>
      </c>
      <c r="BG88" s="175">
        <v>0</v>
      </c>
      <c r="BH88" s="175">
        <v>0</v>
      </c>
      <c r="BI88" s="207">
        <v>0</v>
      </c>
      <c r="BJ88" s="207">
        <v>-458.4</v>
      </c>
      <c r="BK88" s="207">
        <v>-7830.999999999999</v>
      </c>
      <c r="BL88" s="207">
        <v>-534.8000000000001</v>
      </c>
      <c r="BM88" s="207">
        <v>0</v>
      </c>
      <c r="BN88" s="207">
        <v>0</v>
      </c>
      <c r="BO88" s="207">
        <v>-6236</v>
      </c>
      <c r="BP88" s="207">
        <v>-26728.89863049014</v>
      </c>
      <c r="BQ88" s="207">
        <v>-81289.6</v>
      </c>
      <c r="BR88" s="207">
        <v>82427.22236314509</v>
      </c>
      <c r="BS88" s="207">
        <v>219048</v>
      </c>
      <c r="BT88" s="207">
        <v>68340</v>
      </c>
      <c r="BU88" s="207">
        <v>185745.72702158507</v>
      </c>
      <c r="BV88" s="207">
        <v>10832.417464142347</v>
      </c>
      <c r="BW88" s="207">
        <v>24966.191205261683</v>
      </c>
      <c r="BX88" s="207">
        <v>84210.02610541235</v>
      </c>
      <c r="BY88" s="207">
        <v>132963.3328811662</v>
      </c>
      <c r="BZ88" s="207">
        <v>193905.06881895455</v>
      </c>
      <c r="CA88" s="207">
        <v>61753.68627254177</v>
      </c>
      <c r="CB88" s="207">
        <v>108331.3907709797</v>
      </c>
      <c r="CC88" s="207">
        <v>171.9</v>
      </c>
      <c r="CD88" s="207">
        <v>-8920.778212885716</v>
      </c>
      <c r="CE88" s="207">
        <v>164781.71610767546</v>
      </c>
      <c r="CF88" s="207">
        <v>-69888.8825228147</v>
      </c>
      <c r="CG88" s="207">
        <v>95448.4719574161</v>
      </c>
      <c r="CH88" s="207">
        <v>152217.45576886742</v>
      </c>
      <c r="CI88" s="207">
        <v>0</v>
      </c>
      <c r="CJ88" s="207">
        <v>2019190.0013221835</v>
      </c>
      <c r="CK88" s="207">
        <v>-335466</v>
      </c>
      <c r="CL88" s="207">
        <v>38175.2</v>
      </c>
      <c r="CM88" s="207">
        <v>28631.4</v>
      </c>
      <c r="CN88" s="207">
        <v>9543.799999999996</v>
      </c>
      <c r="CO88" s="207">
        <v>5763763.466411875</v>
      </c>
      <c r="CP88" s="207">
        <v>6794473.838444369</v>
      </c>
      <c r="CQ88" s="207">
        <v>1967</v>
      </c>
    </row>
    <row r="89" spans="1:95" ht="11.25">
      <c r="A89" s="207">
        <v>256</v>
      </c>
      <c r="B89" s="207" t="s">
        <v>146</v>
      </c>
      <c r="C89" s="207">
        <v>1615</v>
      </c>
      <c r="D89" s="207">
        <v>6298289.459999999</v>
      </c>
      <c r="E89" s="207">
        <v>2376865.371023566</v>
      </c>
      <c r="F89" s="207">
        <v>595423.501973405</v>
      </c>
      <c r="G89" s="207">
        <v>9270578.33299697</v>
      </c>
      <c r="H89" s="207">
        <v>3664.46</v>
      </c>
      <c r="I89" s="207">
        <v>5918102.9</v>
      </c>
      <c r="J89" s="207">
        <v>3352475.4329969697</v>
      </c>
      <c r="K89" s="207">
        <v>724558.0035496462</v>
      </c>
      <c r="L89" s="207">
        <v>23862.001222532097</v>
      </c>
      <c r="M89" s="207">
        <v>0</v>
      </c>
      <c r="N89" s="207">
        <v>4100895.437769148</v>
      </c>
      <c r="O89" s="207">
        <v>1812621.306551124</v>
      </c>
      <c r="P89" s="207">
        <v>5913516.744320272</v>
      </c>
      <c r="Q89" s="207">
        <v>116</v>
      </c>
      <c r="R89" s="207">
        <v>23</v>
      </c>
      <c r="S89" s="207">
        <v>103</v>
      </c>
      <c r="T89" s="207">
        <v>53</v>
      </c>
      <c r="U89" s="207">
        <v>49</v>
      </c>
      <c r="V89" s="207">
        <v>771</v>
      </c>
      <c r="W89" s="207">
        <v>278</v>
      </c>
      <c r="X89" s="207">
        <v>163</v>
      </c>
      <c r="Y89" s="207">
        <v>59</v>
      </c>
      <c r="Z89" s="207">
        <v>1</v>
      </c>
      <c r="AA89" s="207">
        <v>0</v>
      </c>
      <c r="AB89" s="207">
        <v>1603</v>
      </c>
      <c r="AC89" s="207">
        <v>11</v>
      </c>
      <c r="AD89" s="207">
        <v>500</v>
      </c>
      <c r="AE89" s="481">
        <v>1.2457093095701737</v>
      </c>
      <c r="AF89" s="207">
        <v>2376865.371023566</v>
      </c>
      <c r="AG89" s="207" t="e">
        <v>#DIV/0!</v>
      </c>
      <c r="AH89" s="207" t="e">
        <v>#DIV/0!</v>
      </c>
      <c r="AI89" s="207" t="e">
        <v>#DIV/0!</v>
      </c>
      <c r="AJ89" s="175">
        <v>82</v>
      </c>
      <c r="AK89" s="175">
        <v>670</v>
      </c>
      <c r="AL89" s="175">
        <v>1.2544786907561272</v>
      </c>
      <c r="AM89" s="175">
        <v>11</v>
      </c>
      <c r="AN89" s="175">
        <v>0.006811145510835914</v>
      </c>
      <c r="AO89" s="175">
        <v>0.0035300664003729172</v>
      </c>
      <c r="AP89" s="175">
        <v>0</v>
      </c>
      <c r="AQ89" s="175">
        <v>1</v>
      </c>
      <c r="AR89" s="175">
        <v>0</v>
      </c>
      <c r="AS89" s="175">
        <v>0</v>
      </c>
      <c r="AT89" s="175">
        <v>0</v>
      </c>
      <c r="AU89" s="175">
        <v>460.2</v>
      </c>
      <c r="AV89" s="175">
        <v>3.5093437635810516</v>
      </c>
      <c r="AW89" s="175">
        <v>5.172055906655258</v>
      </c>
      <c r="AX89" s="175">
        <v>60</v>
      </c>
      <c r="AY89" s="175">
        <v>378</v>
      </c>
      <c r="AZ89" s="175">
        <v>0.15873015873015872</v>
      </c>
      <c r="BA89" s="175">
        <v>0.09754632264592422</v>
      </c>
      <c r="BB89" s="175">
        <v>1.286416</v>
      </c>
      <c r="BC89" s="207">
        <v>481</v>
      </c>
      <c r="BD89" s="175">
        <v>544</v>
      </c>
      <c r="BE89" s="175">
        <v>0.8841911764705882</v>
      </c>
      <c r="BF89" s="175">
        <v>0.4752842938794951</v>
      </c>
      <c r="BG89" s="175">
        <v>0</v>
      </c>
      <c r="BH89" s="175">
        <v>0</v>
      </c>
      <c r="BI89" s="207">
        <v>0</v>
      </c>
      <c r="BJ89" s="207">
        <v>-387.59999999999997</v>
      </c>
      <c r="BK89" s="207">
        <v>-6621.499999999999</v>
      </c>
      <c r="BL89" s="207">
        <v>-452.20000000000005</v>
      </c>
      <c r="BM89" s="207">
        <v>0</v>
      </c>
      <c r="BN89" s="207">
        <v>0</v>
      </c>
      <c r="BO89" s="207">
        <v>96914</v>
      </c>
      <c r="BP89" s="207">
        <v>25418.656842363212</v>
      </c>
      <c r="BQ89" s="207">
        <v>-68734.40000000001</v>
      </c>
      <c r="BR89" s="207">
        <v>7985.68745491188</v>
      </c>
      <c r="BS89" s="207">
        <v>175069</v>
      </c>
      <c r="BT89" s="207">
        <v>57344</v>
      </c>
      <c r="BU89" s="207">
        <v>155676.28894759898</v>
      </c>
      <c r="BV89" s="207">
        <v>8712.868785601755</v>
      </c>
      <c r="BW89" s="207">
        <v>29015.687809191466</v>
      </c>
      <c r="BX89" s="207">
        <v>73844.99649878072</v>
      </c>
      <c r="BY89" s="207">
        <v>86849.92761042874</v>
      </c>
      <c r="BZ89" s="207">
        <v>141637.73046884115</v>
      </c>
      <c r="CA89" s="207">
        <v>38890.7408488016</v>
      </c>
      <c r="CB89" s="207">
        <v>73585.13520879087</v>
      </c>
      <c r="CC89" s="207">
        <v>145.35</v>
      </c>
      <c r="CD89" s="207">
        <v>-13799.397084791897</v>
      </c>
      <c r="CE89" s="207">
        <v>174268.3943801689</v>
      </c>
      <c r="CF89" s="207">
        <v>23862.001222532097</v>
      </c>
      <c r="CG89" s="207">
        <v>81423.90401004891</v>
      </c>
      <c r="CH89" s="207">
        <v>103473.56624116078</v>
      </c>
      <c r="CI89" s="207">
        <v>0</v>
      </c>
      <c r="CJ89" s="207">
        <v>1812621.306551124</v>
      </c>
      <c r="CK89" s="207">
        <v>153441</v>
      </c>
      <c r="CL89" s="207">
        <v>103686.57</v>
      </c>
      <c r="CM89" s="207">
        <v>10907.2</v>
      </c>
      <c r="CN89" s="207">
        <v>92779.37000000001</v>
      </c>
      <c r="CO89" s="207">
        <v>6066957.744320272</v>
      </c>
      <c r="CP89" s="207">
        <v>6463456.937326853</v>
      </c>
      <c r="CQ89" s="207">
        <v>1656</v>
      </c>
    </row>
    <row r="90" spans="1:95" ht="11.25">
      <c r="A90" s="207">
        <v>257</v>
      </c>
      <c r="B90" s="207" t="s">
        <v>147</v>
      </c>
      <c r="C90" s="207">
        <v>39262</v>
      </c>
      <c r="D90" s="207">
        <v>135040231.93</v>
      </c>
      <c r="E90" s="207">
        <v>32580783.297978662</v>
      </c>
      <c r="F90" s="207">
        <v>12998774.695580622</v>
      </c>
      <c r="G90" s="207">
        <v>180619789.9235593</v>
      </c>
      <c r="H90" s="207">
        <v>3664.46</v>
      </c>
      <c r="I90" s="207">
        <v>143874028.52</v>
      </c>
      <c r="J90" s="207">
        <v>36745761.4035593</v>
      </c>
      <c r="K90" s="207">
        <v>494188.9252411879</v>
      </c>
      <c r="L90" s="207">
        <v>-5254683.366192328</v>
      </c>
      <c r="M90" s="207">
        <v>0</v>
      </c>
      <c r="N90" s="207">
        <v>31985266.96260816</v>
      </c>
      <c r="O90" s="207">
        <v>-11354984.440861113</v>
      </c>
      <c r="P90" s="207">
        <v>20630282.521747045</v>
      </c>
      <c r="Q90" s="207">
        <v>2642</v>
      </c>
      <c r="R90" s="207">
        <v>547</v>
      </c>
      <c r="S90" s="207">
        <v>3548</v>
      </c>
      <c r="T90" s="207">
        <v>1753</v>
      </c>
      <c r="U90" s="207">
        <v>1621</v>
      </c>
      <c r="V90" s="207">
        <v>22813</v>
      </c>
      <c r="W90" s="207">
        <v>4069</v>
      </c>
      <c r="X90" s="207">
        <v>1793</v>
      </c>
      <c r="Y90" s="207">
        <v>476</v>
      </c>
      <c r="Z90" s="207">
        <v>6498</v>
      </c>
      <c r="AA90" s="207">
        <v>7</v>
      </c>
      <c r="AB90" s="207">
        <v>29599</v>
      </c>
      <c r="AC90" s="207">
        <v>3158</v>
      </c>
      <c r="AD90" s="207">
        <v>6338</v>
      </c>
      <c r="AE90" s="481">
        <v>0.7023826187595662</v>
      </c>
      <c r="AF90" s="207">
        <v>32580783.297978662</v>
      </c>
      <c r="AG90" s="207" t="e">
        <v>#DIV/0!</v>
      </c>
      <c r="AH90" s="207" t="e">
        <v>#DIV/0!</v>
      </c>
      <c r="AI90" s="207" t="e">
        <v>#DIV/0!</v>
      </c>
      <c r="AJ90" s="175">
        <v>1466</v>
      </c>
      <c r="AK90" s="175">
        <v>19801</v>
      </c>
      <c r="AL90" s="175">
        <v>0.758876466964888</v>
      </c>
      <c r="AM90" s="175">
        <v>3158</v>
      </c>
      <c r="AN90" s="175">
        <v>0.08043400743721665</v>
      </c>
      <c r="AO90" s="175">
        <v>0.07715292832675366</v>
      </c>
      <c r="AP90" s="175">
        <v>1</v>
      </c>
      <c r="AQ90" s="175">
        <v>6498</v>
      </c>
      <c r="AR90" s="175">
        <v>7</v>
      </c>
      <c r="AS90" s="175">
        <v>3</v>
      </c>
      <c r="AT90" s="175">
        <v>686</v>
      </c>
      <c r="AU90" s="175">
        <v>366.23</v>
      </c>
      <c r="AV90" s="175">
        <v>107.20585424460039</v>
      </c>
      <c r="AW90" s="175">
        <v>0.1693053263630643</v>
      </c>
      <c r="AX90" s="175">
        <v>2010</v>
      </c>
      <c r="AY90" s="175">
        <v>14152</v>
      </c>
      <c r="AZ90" s="175">
        <v>0.14202939513849633</v>
      </c>
      <c r="BA90" s="175">
        <v>0.08084555905426183</v>
      </c>
      <c r="BB90" s="175">
        <v>0</v>
      </c>
      <c r="BC90" s="207">
        <v>10707</v>
      </c>
      <c r="BD90" s="175">
        <v>17827</v>
      </c>
      <c r="BE90" s="175">
        <v>0.6006058226285971</v>
      </c>
      <c r="BF90" s="175">
        <v>0.19169894003750398</v>
      </c>
      <c r="BG90" s="175">
        <v>0</v>
      </c>
      <c r="BH90" s="175">
        <v>7</v>
      </c>
      <c r="BI90" s="207">
        <v>0</v>
      </c>
      <c r="BJ90" s="207">
        <v>-9422.88</v>
      </c>
      <c r="BK90" s="207">
        <v>-160974.19999999998</v>
      </c>
      <c r="BL90" s="207">
        <v>-10993.36</v>
      </c>
      <c r="BM90" s="207">
        <v>0</v>
      </c>
      <c r="BN90" s="207">
        <v>0</v>
      </c>
      <c r="BO90" s="207">
        <v>95527</v>
      </c>
      <c r="BP90" s="207">
        <v>-2500000.5429516877</v>
      </c>
      <c r="BQ90" s="207">
        <v>-1670990.7200000002</v>
      </c>
      <c r="BR90" s="207">
        <v>-115756.35312727839</v>
      </c>
      <c r="BS90" s="207">
        <v>2071727</v>
      </c>
      <c r="BT90" s="207">
        <v>698246</v>
      </c>
      <c r="BU90" s="207">
        <v>1328514.603771267</v>
      </c>
      <c r="BV90" s="207">
        <v>-6999.652707042877</v>
      </c>
      <c r="BW90" s="207">
        <v>-330038.789723722</v>
      </c>
      <c r="BX90" s="207">
        <v>466855.0734799032</v>
      </c>
      <c r="BY90" s="207">
        <v>1443673.5638424095</v>
      </c>
      <c r="BZ90" s="207">
        <v>2195705.452450867</v>
      </c>
      <c r="CA90" s="207">
        <v>680587.7115293582</v>
      </c>
      <c r="CB90" s="207">
        <v>1222246.1061520812</v>
      </c>
      <c r="CC90" s="207">
        <v>3533.58</v>
      </c>
      <c r="CD90" s="207">
        <v>-88794.18098608329</v>
      </c>
      <c r="CE90" s="207">
        <v>1519771.1167593612</v>
      </c>
      <c r="CF90" s="207">
        <v>-5254683.366192328</v>
      </c>
      <c r="CG90" s="207">
        <v>1586391.6908727228</v>
      </c>
      <c r="CH90" s="207">
        <v>1676648.1285296518</v>
      </c>
      <c r="CI90" s="207">
        <v>0</v>
      </c>
      <c r="CJ90" s="207">
        <v>-11354984.440861113</v>
      </c>
      <c r="CK90" s="207">
        <v>-2996879</v>
      </c>
      <c r="CL90" s="207">
        <v>707809.11</v>
      </c>
      <c r="CM90" s="207">
        <v>1387755.7775999994</v>
      </c>
      <c r="CN90" s="207">
        <v>-679946.6675999995</v>
      </c>
      <c r="CO90" s="207">
        <v>17633403.521747045</v>
      </c>
      <c r="CP90" s="207">
        <v>20449219.400093526</v>
      </c>
      <c r="CQ90" s="207">
        <v>39170</v>
      </c>
    </row>
    <row r="91" spans="1:95" ht="11.25">
      <c r="A91" s="207">
        <v>260</v>
      </c>
      <c r="B91" s="207" t="s">
        <v>148</v>
      </c>
      <c r="C91" s="207">
        <v>10358</v>
      </c>
      <c r="D91" s="207">
        <v>37725775.84</v>
      </c>
      <c r="E91" s="207">
        <v>20184007.343428835</v>
      </c>
      <c r="F91" s="207">
        <v>3698215.498960881</v>
      </c>
      <c r="G91" s="207">
        <v>61607998.68238972</v>
      </c>
      <c r="H91" s="207">
        <v>3664.46</v>
      </c>
      <c r="I91" s="207">
        <v>37956476.68</v>
      </c>
      <c r="J91" s="207">
        <v>23651522.00238972</v>
      </c>
      <c r="K91" s="207">
        <v>1707028.3933754486</v>
      </c>
      <c r="L91" s="207">
        <v>-461820.89707274106</v>
      </c>
      <c r="M91" s="207">
        <v>0</v>
      </c>
      <c r="N91" s="207">
        <v>24896729.49869243</v>
      </c>
      <c r="O91" s="207">
        <v>9559246.825108826</v>
      </c>
      <c r="P91" s="207">
        <v>34455976.32380126</v>
      </c>
      <c r="Q91" s="207">
        <v>418</v>
      </c>
      <c r="R91" s="207">
        <v>80</v>
      </c>
      <c r="S91" s="207">
        <v>526</v>
      </c>
      <c r="T91" s="207">
        <v>276</v>
      </c>
      <c r="U91" s="207">
        <v>312</v>
      </c>
      <c r="V91" s="207">
        <v>5229</v>
      </c>
      <c r="W91" s="207">
        <v>1944</v>
      </c>
      <c r="X91" s="207">
        <v>1113</v>
      </c>
      <c r="Y91" s="207">
        <v>460</v>
      </c>
      <c r="Z91" s="207">
        <v>3</v>
      </c>
      <c r="AA91" s="207">
        <v>2</v>
      </c>
      <c r="AB91" s="207">
        <v>9865</v>
      </c>
      <c r="AC91" s="207">
        <v>488</v>
      </c>
      <c r="AD91" s="207">
        <v>3517</v>
      </c>
      <c r="AE91" s="481">
        <v>1.6493625987627476</v>
      </c>
      <c r="AF91" s="207">
        <v>20184007.343428835</v>
      </c>
      <c r="AG91" s="207" t="e">
        <v>#DIV/0!</v>
      </c>
      <c r="AH91" s="207" t="e">
        <v>#DIV/0!</v>
      </c>
      <c r="AI91" s="207" t="e">
        <v>#DIV/0!</v>
      </c>
      <c r="AJ91" s="175">
        <v>618</v>
      </c>
      <c r="AK91" s="175">
        <v>4358</v>
      </c>
      <c r="AL91" s="175">
        <v>1.4535349810678482</v>
      </c>
      <c r="AM91" s="175">
        <v>488</v>
      </c>
      <c r="AN91" s="175">
        <v>0.04711334234408187</v>
      </c>
      <c r="AO91" s="175">
        <v>0.04383226323361887</v>
      </c>
      <c r="AP91" s="175">
        <v>0</v>
      </c>
      <c r="AQ91" s="175">
        <v>3</v>
      </c>
      <c r="AR91" s="175">
        <v>2</v>
      </c>
      <c r="AS91" s="175">
        <v>3</v>
      </c>
      <c r="AT91" s="175">
        <v>409</v>
      </c>
      <c r="AU91" s="175">
        <v>1253.57</v>
      </c>
      <c r="AV91" s="175">
        <v>8.262801439089959</v>
      </c>
      <c r="AW91" s="175">
        <v>2.196654763485666</v>
      </c>
      <c r="AX91" s="175">
        <v>398</v>
      </c>
      <c r="AY91" s="175">
        <v>2601</v>
      </c>
      <c r="AZ91" s="175">
        <v>0.15301806997308728</v>
      </c>
      <c r="BA91" s="175">
        <v>0.09183423388885278</v>
      </c>
      <c r="BB91" s="175">
        <v>0.581283</v>
      </c>
      <c r="BC91" s="207">
        <v>3529</v>
      </c>
      <c r="BD91" s="175">
        <v>3516</v>
      </c>
      <c r="BE91" s="175">
        <v>1.003697383390216</v>
      </c>
      <c r="BF91" s="175">
        <v>0.594790500799123</v>
      </c>
      <c r="BG91" s="175">
        <v>0</v>
      </c>
      <c r="BH91" s="175">
        <v>2</v>
      </c>
      <c r="BI91" s="207">
        <v>0</v>
      </c>
      <c r="BJ91" s="207">
        <v>-2485.92</v>
      </c>
      <c r="BK91" s="207">
        <v>-42467.799999999996</v>
      </c>
      <c r="BL91" s="207">
        <v>-2900.2400000000002</v>
      </c>
      <c r="BM91" s="207">
        <v>0</v>
      </c>
      <c r="BN91" s="207">
        <v>0</v>
      </c>
      <c r="BO91" s="207">
        <v>489326</v>
      </c>
      <c r="BP91" s="207">
        <v>-386072.9795720455</v>
      </c>
      <c r="BQ91" s="207">
        <v>-440836.48000000004</v>
      </c>
      <c r="BR91" s="207">
        <v>-56715.47882780805</v>
      </c>
      <c r="BS91" s="207">
        <v>1158136</v>
      </c>
      <c r="BT91" s="207">
        <v>342783</v>
      </c>
      <c r="BU91" s="207">
        <v>900533.8584845748</v>
      </c>
      <c r="BV91" s="207">
        <v>48990.33472329932</v>
      </c>
      <c r="BW91" s="207">
        <v>122919.64991699434</v>
      </c>
      <c r="BX91" s="207">
        <v>445395.39128702896</v>
      </c>
      <c r="BY91" s="207">
        <v>568926.4470514387</v>
      </c>
      <c r="BZ91" s="207">
        <v>934562.5713683525</v>
      </c>
      <c r="CA91" s="207">
        <v>276798.53308393044</v>
      </c>
      <c r="CB91" s="207">
        <v>502502.5318486387</v>
      </c>
      <c r="CC91" s="207">
        <v>932.2199999999999</v>
      </c>
      <c r="CD91" s="207">
        <v>67024.57424803644</v>
      </c>
      <c r="CE91" s="207">
        <v>1051927.5424993043</v>
      </c>
      <c r="CF91" s="207">
        <v>-461820.89707274106</v>
      </c>
      <c r="CG91" s="207">
        <v>541105.807079076</v>
      </c>
      <c r="CH91" s="207">
        <v>692354.0860678367</v>
      </c>
      <c r="CI91" s="207">
        <v>0</v>
      </c>
      <c r="CJ91" s="207">
        <v>9559246.825108826</v>
      </c>
      <c r="CK91" s="207">
        <v>-989109</v>
      </c>
      <c r="CL91" s="207">
        <v>118820.31</v>
      </c>
      <c r="CM91" s="207">
        <v>81804</v>
      </c>
      <c r="CN91" s="207">
        <v>37016.31</v>
      </c>
      <c r="CO91" s="207">
        <v>33466867.323801257</v>
      </c>
      <c r="CP91" s="207">
        <v>36661888.35320156</v>
      </c>
      <c r="CQ91" s="207">
        <v>10486</v>
      </c>
    </row>
    <row r="92" spans="1:95" ht="11.25">
      <c r="A92" s="207">
        <v>261</v>
      </c>
      <c r="B92" s="207" t="s">
        <v>149</v>
      </c>
      <c r="C92" s="207">
        <v>6436</v>
      </c>
      <c r="D92" s="207">
        <v>21407346.449999996</v>
      </c>
      <c r="E92" s="207">
        <v>7550372.383732085</v>
      </c>
      <c r="F92" s="207">
        <v>6340348.801467221</v>
      </c>
      <c r="G92" s="207">
        <v>35298067.6351993</v>
      </c>
      <c r="H92" s="207">
        <v>3664.46</v>
      </c>
      <c r="I92" s="207">
        <v>23584464.56</v>
      </c>
      <c r="J92" s="207">
        <v>11713603.075199302</v>
      </c>
      <c r="K92" s="207">
        <v>6856736.359624944</v>
      </c>
      <c r="L92" s="207">
        <v>-320141.5401647496</v>
      </c>
      <c r="M92" s="207">
        <v>0</v>
      </c>
      <c r="N92" s="207">
        <v>18250197.894659497</v>
      </c>
      <c r="O92" s="207">
        <v>878565.762705041</v>
      </c>
      <c r="P92" s="207">
        <v>19128763.657364536</v>
      </c>
      <c r="Q92" s="207">
        <v>380</v>
      </c>
      <c r="R92" s="207">
        <v>64</v>
      </c>
      <c r="S92" s="207">
        <v>396</v>
      </c>
      <c r="T92" s="207">
        <v>207</v>
      </c>
      <c r="U92" s="207">
        <v>162</v>
      </c>
      <c r="V92" s="207">
        <v>3859</v>
      </c>
      <c r="W92" s="207">
        <v>792</v>
      </c>
      <c r="X92" s="207">
        <v>403</v>
      </c>
      <c r="Y92" s="207">
        <v>173</v>
      </c>
      <c r="Z92" s="207">
        <v>18</v>
      </c>
      <c r="AA92" s="207">
        <v>17</v>
      </c>
      <c r="AB92" s="207">
        <v>6186</v>
      </c>
      <c r="AC92" s="207">
        <v>215</v>
      </c>
      <c r="AD92" s="207">
        <v>1368</v>
      </c>
      <c r="AE92" s="481">
        <v>0.9929719705244805</v>
      </c>
      <c r="AF92" s="207">
        <v>7550372.383732085</v>
      </c>
      <c r="AG92" s="207" t="e">
        <v>#DIV/0!</v>
      </c>
      <c r="AH92" s="207" t="e">
        <v>#DIV/0!</v>
      </c>
      <c r="AI92" s="207" t="e">
        <v>#DIV/0!</v>
      </c>
      <c r="AJ92" s="175">
        <v>345</v>
      </c>
      <c r="AK92" s="175">
        <v>3260</v>
      </c>
      <c r="AL92" s="175">
        <v>1.0847401966492547</v>
      </c>
      <c r="AM92" s="175">
        <v>215</v>
      </c>
      <c r="AN92" s="175">
        <v>0.033405842137973894</v>
      </c>
      <c r="AO92" s="175">
        <v>0.0301247630275109</v>
      </c>
      <c r="AP92" s="175">
        <v>0</v>
      </c>
      <c r="AQ92" s="175">
        <v>18</v>
      </c>
      <c r="AR92" s="175">
        <v>17</v>
      </c>
      <c r="AS92" s="175">
        <v>0</v>
      </c>
      <c r="AT92" s="175">
        <v>0</v>
      </c>
      <c r="AU92" s="175">
        <v>8094.39</v>
      </c>
      <c r="AV92" s="175">
        <v>0.7951185944833397</v>
      </c>
      <c r="AW92" s="175">
        <v>22.82744016659201</v>
      </c>
      <c r="AX92" s="175">
        <v>259</v>
      </c>
      <c r="AY92" s="175">
        <v>2076</v>
      </c>
      <c r="AZ92" s="175">
        <v>0.12475915221579961</v>
      </c>
      <c r="BA92" s="175">
        <v>0.06357531613156511</v>
      </c>
      <c r="BB92" s="175">
        <v>1.56535</v>
      </c>
      <c r="BC92" s="207">
        <v>3378</v>
      </c>
      <c r="BD92" s="175">
        <v>2906</v>
      </c>
      <c r="BE92" s="175">
        <v>1.1624225739848588</v>
      </c>
      <c r="BF92" s="175">
        <v>0.7535156913937657</v>
      </c>
      <c r="BG92" s="175">
        <v>0</v>
      </c>
      <c r="BH92" s="175">
        <v>17</v>
      </c>
      <c r="BI92" s="207">
        <v>0</v>
      </c>
      <c r="BJ92" s="207">
        <v>-1544.6399999999999</v>
      </c>
      <c r="BK92" s="207">
        <v>-26387.6</v>
      </c>
      <c r="BL92" s="207">
        <v>-1802.0800000000002</v>
      </c>
      <c r="BM92" s="207">
        <v>0</v>
      </c>
      <c r="BN92" s="207">
        <v>0</v>
      </c>
      <c r="BO92" s="207">
        <v>76130</v>
      </c>
      <c r="BP92" s="207">
        <v>-120222.54339545421</v>
      </c>
      <c r="BQ92" s="207">
        <v>-273916.16000000003</v>
      </c>
      <c r="BR92" s="207">
        <v>194464.53024873324</v>
      </c>
      <c r="BS92" s="207">
        <v>488612</v>
      </c>
      <c r="BT92" s="207">
        <v>183601</v>
      </c>
      <c r="BU92" s="207">
        <v>457147.0414309</v>
      </c>
      <c r="BV92" s="207">
        <v>22043.779874781118</v>
      </c>
      <c r="BW92" s="207">
        <v>46606.32555192929</v>
      </c>
      <c r="BX92" s="207">
        <v>166777.0942967512</v>
      </c>
      <c r="BY92" s="207">
        <v>428469.15121476783</v>
      </c>
      <c r="BZ92" s="207">
        <v>556199.9498196029</v>
      </c>
      <c r="CA92" s="207">
        <v>214044.87345109828</v>
      </c>
      <c r="CB92" s="207">
        <v>316851.00909643696</v>
      </c>
      <c r="CC92" s="207">
        <v>579.24</v>
      </c>
      <c r="CD92" s="207">
        <v>-86801.59332512844</v>
      </c>
      <c r="CE92" s="207">
        <v>500768.3232307045</v>
      </c>
      <c r="CF92" s="207">
        <v>-320141.5401647496</v>
      </c>
      <c r="CG92" s="207">
        <v>310024.5063070998</v>
      </c>
      <c r="CH92" s="207">
        <v>489160.78451090166</v>
      </c>
      <c r="CI92" s="207">
        <v>0</v>
      </c>
      <c r="CJ92" s="207">
        <v>878565.762705041</v>
      </c>
      <c r="CK92" s="207">
        <v>102601</v>
      </c>
      <c r="CL92" s="207">
        <v>137771.57</v>
      </c>
      <c r="CM92" s="207">
        <v>128227.77</v>
      </c>
      <c r="CN92" s="207">
        <v>9543.800000000003</v>
      </c>
      <c r="CO92" s="207">
        <v>19231364.657364536</v>
      </c>
      <c r="CP92" s="207">
        <v>23149890.584831197</v>
      </c>
      <c r="CQ92" s="207">
        <v>6421</v>
      </c>
    </row>
    <row r="93" spans="1:95" ht="11.25">
      <c r="A93" s="207">
        <v>263</v>
      </c>
      <c r="B93" s="207" t="s">
        <v>150</v>
      </c>
      <c r="C93" s="207">
        <v>8153</v>
      </c>
      <c r="D93" s="207">
        <v>31042662.68</v>
      </c>
      <c r="E93" s="207">
        <v>15590139.640417054</v>
      </c>
      <c r="F93" s="207">
        <v>2247316.3188059274</v>
      </c>
      <c r="G93" s="207">
        <v>48880118.63922298</v>
      </c>
      <c r="H93" s="207">
        <v>3664.46</v>
      </c>
      <c r="I93" s="207">
        <v>29876342.38</v>
      </c>
      <c r="J93" s="207">
        <v>19003776.25922298</v>
      </c>
      <c r="K93" s="207">
        <v>758463.6202114593</v>
      </c>
      <c r="L93" s="207">
        <v>-257516.6928742726</v>
      </c>
      <c r="M93" s="207">
        <v>0</v>
      </c>
      <c r="N93" s="207">
        <v>19504723.18656017</v>
      </c>
      <c r="O93" s="207">
        <v>8374134.333003148</v>
      </c>
      <c r="P93" s="207">
        <v>27878857.519563317</v>
      </c>
      <c r="Q93" s="207">
        <v>432</v>
      </c>
      <c r="R93" s="207">
        <v>82</v>
      </c>
      <c r="S93" s="207">
        <v>491</v>
      </c>
      <c r="T93" s="207">
        <v>263</v>
      </c>
      <c r="U93" s="207">
        <v>265</v>
      </c>
      <c r="V93" s="207">
        <v>4219</v>
      </c>
      <c r="W93" s="207">
        <v>1299</v>
      </c>
      <c r="X93" s="207">
        <v>728</v>
      </c>
      <c r="Y93" s="207">
        <v>374</v>
      </c>
      <c r="Z93" s="207">
        <v>2</v>
      </c>
      <c r="AA93" s="207">
        <v>0</v>
      </c>
      <c r="AB93" s="207">
        <v>8052</v>
      </c>
      <c r="AC93" s="207">
        <v>99</v>
      </c>
      <c r="AD93" s="207">
        <v>2401</v>
      </c>
      <c r="AE93" s="481">
        <v>1.6185168168715605</v>
      </c>
      <c r="AF93" s="207">
        <v>15590139.640417054</v>
      </c>
      <c r="AG93" s="207" t="e">
        <v>#DIV/0!</v>
      </c>
      <c r="AH93" s="207" t="e">
        <v>#DIV/0!</v>
      </c>
      <c r="AI93" s="207" t="e">
        <v>#DIV/0!</v>
      </c>
      <c r="AJ93" s="175">
        <v>411</v>
      </c>
      <c r="AK93" s="175">
        <v>3519</v>
      </c>
      <c r="AL93" s="175">
        <v>1.1971451045318957</v>
      </c>
      <c r="AM93" s="175">
        <v>99</v>
      </c>
      <c r="AN93" s="175">
        <v>0.012142769532687354</v>
      </c>
      <c r="AO93" s="175">
        <v>0.008861690422224358</v>
      </c>
      <c r="AP93" s="175">
        <v>0</v>
      </c>
      <c r="AQ93" s="175">
        <v>2</v>
      </c>
      <c r="AR93" s="175">
        <v>0</v>
      </c>
      <c r="AS93" s="175">
        <v>0</v>
      </c>
      <c r="AT93" s="175">
        <v>0</v>
      </c>
      <c r="AU93" s="175">
        <v>1328.14</v>
      </c>
      <c r="AV93" s="175">
        <v>6.138660081015555</v>
      </c>
      <c r="AW93" s="175">
        <v>2.956756344441607</v>
      </c>
      <c r="AX93" s="175">
        <v>293</v>
      </c>
      <c r="AY93" s="175">
        <v>2176</v>
      </c>
      <c r="AZ93" s="175">
        <v>0.13465073529411764</v>
      </c>
      <c r="BA93" s="175">
        <v>0.07346689920988314</v>
      </c>
      <c r="BB93" s="175">
        <v>0.293066</v>
      </c>
      <c r="BC93" s="207">
        <v>2559</v>
      </c>
      <c r="BD93" s="175">
        <v>2975</v>
      </c>
      <c r="BE93" s="175">
        <v>0.8601680672268908</v>
      </c>
      <c r="BF93" s="175">
        <v>0.4512611846357977</v>
      </c>
      <c r="BG93" s="175">
        <v>0</v>
      </c>
      <c r="BH93" s="175">
        <v>0</v>
      </c>
      <c r="BI93" s="207">
        <v>0</v>
      </c>
      <c r="BJ93" s="207">
        <v>-1956.72</v>
      </c>
      <c r="BK93" s="207">
        <v>-33427.299999999996</v>
      </c>
      <c r="BL93" s="207">
        <v>-2282.84</v>
      </c>
      <c r="BM93" s="207">
        <v>0</v>
      </c>
      <c r="BN93" s="207">
        <v>0</v>
      </c>
      <c r="BO93" s="207">
        <v>232429</v>
      </c>
      <c r="BP93" s="207">
        <v>-251366.18953067178</v>
      </c>
      <c r="BQ93" s="207">
        <v>-346991.68</v>
      </c>
      <c r="BR93" s="207">
        <v>168045.4978406094</v>
      </c>
      <c r="BS93" s="207">
        <v>894473</v>
      </c>
      <c r="BT93" s="207">
        <v>268110</v>
      </c>
      <c r="BU93" s="207">
        <v>682456.22900401</v>
      </c>
      <c r="BV93" s="207">
        <v>33966.257956521804</v>
      </c>
      <c r="BW93" s="207">
        <v>110226.00985128019</v>
      </c>
      <c r="BX93" s="207">
        <v>363392.41017846076</v>
      </c>
      <c r="BY93" s="207">
        <v>470200.3889638611</v>
      </c>
      <c r="BZ93" s="207">
        <v>789309.2936602538</v>
      </c>
      <c r="CA93" s="207">
        <v>215961.5741476559</v>
      </c>
      <c r="CB93" s="207">
        <v>413121.78828615317</v>
      </c>
      <c r="CC93" s="207">
        <v>733.77</v>
      </c>
      <c r="CD93" s="207">
        <v>42870.60125201153</v>
      </c>
      <c r="CE93" s="207">
        <v>881466.6066563993</v>
      </c>
      <c r="CF93" s="207">
        <v>-257516.6928742726</v>
      </c>
      <c r="CG93" s="207">
        <v>429316.26756377844</v>
      </c>
      <c r="CH93" s="207">
        <v>559575.8293255239</v>
      </c>
      <c r="CI93" s="207">
        <v>0</v>
      </c>
      <c r="CJ93" s="207">
        <v>8374134.333003148</v>
      </c>
      <c r="CK93" s="207">
        <v>-464938</v>
      </c>
      <c r="CL93" s="207">
        <v>294698.9100000001</v>
      </c>
      <c r="CM93" s="207">
        <v>145897.434</v>
      </c>
      <c r="CN93" s="207">
        <v>148801.47600000008</v>
      </c>
      <c r="CO93" s="207">
        <v>27413919.519563317</v>
      </c>
      <c r="CP93" s="207">
        <v>29669245.527233087</v>
      </c>
      <c r="CQ93" s="207">
        <v>8283</v>
      </c>
    </row>
    <row r="94" spans="1:95" ht="11.25">
      <c r="A94" s="207">
        <v>265</v>
      </c>
      <c r="B94" s="207" t="s">
        <v>151</v>
      </c>
      <c r="C94" s="207">
        <v>1103</v>
      </c>
      <c r="D94" s="207">
        <v>4254761.02</v>
      </c>
      <c r="E94" s="207">
        <v>2145169.257867145</v>
      </c>
      <c r="F94" s="207">
        <v>563376.3967632758</v>
      </c>
      <c r="G94" s="207">
        <v>6963306.67463042</v>
      </c>
      <c r="H94" s="207">
        <v>3664.46</v>
      </c>
      <c r="I94" s="207">
        <v>4041899.38</v>
      </c>
      <c r="J94" s="207">
        <v>2921407.2946304204</v>
      </c>
      <c r="K94" s="207">
        <v>443784.6788978255</v>
      </c>
      <c r="L94" s="207">
        <v>-37723.108478651906</v>
      </c>
      <c r="M94" s="207">
        <v>0</v>
      </c>
      <c r="N94" s="207">
        <v>3327468.865049594</v>
      </c>
      <c r="O94" s="207">
        <v>1097607.938371645</v>
      </c>
      <c r="P94" s="207">
        <v>4425076.803421239</v>
      </c>
      <c r="Q94" s="207">
        <v>45</v>
      </c>
      <c r="R94" s="207">
        <v>9</v>
      </c>
      <c r="S94" s="207">
        <v>62</v>
      </c>
      <c r="T94" s="207">
        <v>33</v>
      </c>
      <c r="U94" s="207">
        <v>24</v>
      </c>
      <c r="V94" s="207">
        <v>511</v>
      </c>
      <c r="W94" s="207">
        <v>219</v>
      </c>
      <c r="X94" s="207">
        <v>150</v>
      </c>
      <c r="Y94" s="207">
        <v>50</v>
      </c>
      <c r="Z94" s="207">
        <v>0</v>
      </c>
      <c r="AA94" s="207">
        <v>0</v>
      </c>
      <c r="AB94" s="207">
        <v>1091</v>
      </c>
      <c r="AC94" s="207">
        <v>12</v>
      </c>
      <c r="AD94" s="207">
        <v>419</v>
      </c>
      <c r="AE94" s="481">
        <v>1.646154924158452</v>
      </c>
      <c r="AF94" s="207">
        <v>2145169.257867145</v>
      </c>
      <c r="AG94" s="207" t="e">
        <v>#DIV/0!</v>
      </c>
      <c r="AH94" s="207" t="e">
        <v>#DIV/0!</v>
      </c>
      <c r="AI94" s="207" t="e">
        <v>#DIV/0!</v>
      </c>
      <c r="AJ94" s="175">
        <v>46</v>
      </c>
      <c r="AK94" s="175">
        <v>433</v>
      </c>
      <c r="AL94" s="175">
        <v>1.0889154860897832</v>
      </c>
      <c r="AM94" s="175">
        <v>12</v>
      </c>
      <c r="AN94" s="175">
        <v>0.010879419764279238</v>
      </c>
      <c r="AO94" s="175">
        <v>0.007598340653816242</v>
      </c>
      <c r="AP94" s="175">
        <v>0</v>
      </c>
      <c r="AQ94" s="175">
        <v>0</v>
      </c>
      <c r="AR94" s="175">
        <v>0</v>
      </c>
      <c r="AS94" s="175">
        <v>3</v>
      </c>
      <c r="AT94" s="175">
        <v>93</v>
      </c>
      <c r="AU94" s="175">
        <v>483.96</v>
      </c>
      <c r="AV94" s="175">
        <v>2.279113976361683</v>
      </c>
      <c r="AW94" s="175">
        <v>7.963850131746454</v>
      </c>
      <c r="AX94" s="175">
        <v>48</v>
      </c>
      <c r="AY94" s="175">
        <v>250</v>
      </c>
      <c r="AZ94" s="175">
        <v>0.192</v>
      </c>
      <c r="BA94" s="175">
        <v>0.1308161639157655</v>
      </c>
      <c r="BB94" s="175">
        <v>1.185383</v>
      </c>
      <c r="BC94" s="207">
        <v>232</v>
      </c>
      <c r="BD94" s="175">
        <v>342</v>
      </c>
      <c r="BE94" s="175">
        <v>0.6783625730994152</v>
      </c>
      <c r="BF94" s="175">
        <v>0.2694556905083221</v>
      </c>
      <c r="BG94" s="175">
        <v>0</v>
      </c>
      <c r="BH94" s="175">
        <v>0</v>
      </c>
      <c r="BI94" s="207">
        <v>0</v>
      </c>
      <c r="BJ94" s="207">
        <v>-264.71999999999997</v>
      </c>
      <c r="BK94" s="207">
        <v>-4522.299999999999</v>
      </c>
      <c r="BL94" s="207">
        <v>-308.84000000000003</v>
      </c>
      <c r="BM94" s="207">
        <v>0</v>
      </c>
      <c r="BN94" s="207">
        <v>0</v>
      </c>
      <c r="BO94" s="207">
        <v>43455</v>
      </c>
      <c r="BP94" s="207">
        <v>-23550.337564259396</v>
      </c>
      <c r="BQ94" s="207">
        <v>-46943.68</v>
      </c>
      <c r="BR94" s="207">
        <v>8762.558215379715</v>
      </c>
      <c r="BS94" s="207">
        <v>130215</v>
      </c>
      <c r="BT94" s="207">
        <v>39878</v>
      </c>
      <c r="BU94" s="207">
        <v>113824.44832960851</v>
      </c>
      <c r="BV94" s="207">
        <v>7034.246968550097</v>
      </c>
      <c r="BW94" s="207">
        <v>18972.256087466867</v>
      </c>
      <c r="BX94" s="207">
        <v>56149.43615035633</v>
      </c>
      <c r="BY94" s="207">
        <v>64664.56799765929</v>
      </c>
      <c r="BZ94" s="207">
        <v>103518.21061302294</v>
      </c>
      <c r="CA94" s="207">
        <v>34343.09810392604</v>
      </c>
      <c r="CB94" s="207">
        <v>61106.55490523123</v>
      </c>
      <c r="CC94" s="207">
        <v>99.27</v>
      </c>
      <c r="CD94" s="207">
        <v>-8656.993000353701</v>
      </c>
      <c r="CE94" s="207">
        <v>105910.83908560747</v>
      </c>
      <c r="CF94" s="207">
        <v>-37723.108478651906</v>
      </c>
      <c r="CG94" s="207">
        <v>61159.03387058144</v>
      </c>
      <c r="CH94" s="207">
        <v>80121.1282159376</v>
      </c>
      <c r="CI94" s="207">
        <v>47453.90477304251</v>
      </c>
      <c r="CJ94" s="207">
        <v>1097607.938371645</v>
      </c>
      <c r="CK94" s="207">
        <v>-280814</v>
      </c>
      <c r="CL94" s="207">
        <v>17724.2</v>
      </c>
      <c r="CM94" s="207">
        <v>53240.770000000004</v>
      </c>
      <c r="CN94" s="207">
        <v>-35516.57000000001</v>
      </c>
      <c r="CO94" s="207">
        <v>4144262.8034212394</v>
      </c>
      <c r="CP94" s="207">
        <v>4587672.04822989</v>
      </c>
      <c r="CQ94" s="207">
        <v>1132</v>
      </c>
    </row>
    <row r="95" spans="1:95" ht="11.25">
      <c r="A95" s="207">
        <v>271</v>
      </c>
      <c r="B95" s="207" t="s">
        <v>152</v>
      </c>
      <c r="C95" s="207">
        <v>7226</v>
      </c>
      <c r="D95" s="207">
        <v>26155040.369999997</v>
      </c>
      <c r="E95" s="207">
        <v>10118307.257471917</v>
      </c>
      <c r="F95" s="207">
        <v>1694693.601115922</v>
      </c>
      <c r="G95" s="207">
        <v>37968041.228587836</v>
      </c>
      <c r="H95" s="207">
        <v>3664.46</v>
      </c>
      <c r="I95" s="207">
        <v>26479387.96</v>
      </c>
      <c r="J95" s="207">
        <v>11488653.268587835</v>
      </c>
      <c r="K95" s="207">
        <v>197875.07087116464</v>
      </c>
      <c r="L95" s="207">
        <v>-726752.4477374111</v>
      </c>
      <c r="M95" s="207">
        <v>0</v>
      </c>
      <c r="N95" s="207">
        <v>10959775.89172159</v>
      </c>
      <c r="O95" s="207">
        <v>5038668.526601689</v>
      </c>
      <c r="P95" s="207">
        <v>15998444.418323278</v>
      </c>
      <c r="Q95" s="207">
        <v>333</v>
      </c>
      <c r="R95" s="207">
        <v>60</v>
      </c>
      <c r="S95" s="207">
        <v>417</v>
      </c>
      <c r="T95" s="207">
        <v>224</v>
      </c>
      <c r="U95" s="207">
        <v>215</v>
      </c>
      <c r="V95" s="207">
        <v>3815</v>
      </c>
      <c r="W95" s="207">
        <v>1199</v>
      </c>
      <c r="X95" s="207">
        <v>673</v>
      </c>
      <c r="Y95" s="207">
        <v>290</v>
      </c>
      <c r="Z95" s="207">
        <v>12</v>
      </c>
      <c r="AA95" s="207">
        <v>0</v>
      </c>
      <c r="AB95" s="207">
        <v>7017</v>
      </c>
      <c r="AC95" s="207">
        <v>197</v>
      </c>
      <c r="AD95" s="207">
        <v>2162</v>
      </c>
      <c r="AE95" s="481">
        <v>1.1852079594912386</v>
      </c>
      <c r="AF95" s="207">
        <v>10118307.257471917</v>
      </c>
      <c r="AG95" s="207" t="e">
        <v>#DIV/0!</v>
      </c>
      <c r="AH95" s="207" t="e">
        <v>#DIV/0!</v>
      </c>
      <c r="AI95" s="207" t="e">
        <v>#DIV/0!</v>
      </c>
      <c r="AJ95" s="175">
        <v>330</v>
      </c>
      <c r="AK95" s="175">
        <v>3234</v>
      </c>
      <c r="AL95" s="175">
        <v>1.0459192668076223</v>
      </c>
      <c r="AM95" s="175">
        <v>197</v>
      </c>
      <c r="AN95" s="175">
        <v>0.027262662607251593</v>
      </c>
      <c r="AO95" s="175">
        <v>0.023981583496788597</v>
      </c>
      <c r="AP95" s="175">
        <v>0</v>
      </c>
      <c r="AQ95" s="175">
        <v>12</v>
      </c>
      <c r="AR95" s="175">
        <v>0</v>
      </c>
      <c r="AS95" s="175">
        <v>0</v>
      </c>
      <c r="AT95" s="175">
        <v>0</v>
      </c>
      <c r="AU95" s="175">
        <v>480.47</v>
      </c>
      <c r="AV95" s="175">
        <v>15.039440547796948</v>
      </c>
      <c r="AW95" s="175">
        <v>1.2068615240858775</v>
      </c>
      <c r="AX95" s="175">
        <v>343</v>
      </c>
      <c r="AY95" s="175">
        <v>2068</v>
      </c>
      <c r="AZ95" s="175">
        <v>0.1658607350096712</v>
      </c>
      <c r="BA95" s="175">
        <v>0.10467689892543669</v>
      </c>
      <c r="BB95" s="175">
        <v>0</v>
      </c>
      <c r="BC95" s="207">
        <v>2278</v>
      </c>
      <c r="BD95" s="175">
        <v>2758</v>
      </c>
      <c r="BE95" s="175">
        <v>0.8259608411892676</v>
      </c>
      <c r="BF95" s="175">
        <v>0.4170539585981745</v>
      </c>
      <c r="BG95" s="175">
        <v>0</v>
      </c>
      <c r="BH95" s="175">
        <v>0</v>
      </c>
      <c r="BI95" s="207">
        <v>0</v>
      </c>
      <c r="BJ95" s="207">
        <v>-1734.24</v>
      </c>
      <c r="BK95" s="207">
        <v>-29626.6</v>
      </c>
      <c r="BL95" s="207">
        <v>-2023.2800000000002</v>
      </c>
      <c r="BM95" s="207">
        <v>0</v>
      </c>
      <c r="BN95" s="207">
        <v>0</v>
      </c>
      <c r="BO95" s="207">
        <v>41830</v>
      </c>
      <c r="BP95" s="207">
        <v>-335275.0350301247</v>
      </c>
      <c r="BQ95" s="207">
        <v>-307538.56</v>
      </c>
      <c r="BR95" s="207">
        <v>-17435.946478638798</v>
      </c>
      <c r="BS95" s="207">
        <v>687986</v>
      </c>
      <c r="BT95" s="207">
        <v>217878</v>
      </c>
      <c r="BU95" s="207">
        <v>550817.7150644845</v>
      </c>
      <c r="BV95" s="207">
        <v>28134.764337881366</v>
      </c>
      <c r="BW95" s="207">
        <v>78832.71425176546</v>
      </c>
      <c r="BX95" s="207">
        <v>250297.46366490252</v>
      </c>
      <c r="BY95" s="207">
        <v>386403.0682414612</v>
      </c>
      <c r="BZ95" s="207">
        <v>667130.2318773058</v>
      </c>
      <c r="CA95" s="207">
        <v>191411.1151891651</v>
      </c>
      <c r="CB95" s="207">
        <v>341146.33984664205</v>
      </c>
      <c r="CC95" s="207">
        <v>650.34</v>
      </c>
      <c r="CD95" s="207">
        <v>29544.070012153243</v>
      </c>
      <c r="CE95" s="207">
        <v>395217.20729271363</v>
      </c>
      <c r="CF95" s="207">
        <v>-726752.4477374111</v>
      </c>
      <c r="CG95" s="207">
        <v>333475.0037591992</v>
      </c>
      <c r="CH95" s="207">
        <v>476430.9066755053</v>
      </c>
      <c r="CI95" s="207">
        <v>0</v>
      </c>
      <c r="CJ95" s="207">
        <v>5038668.526601689</v>
      </c>
      <c r="CK95" s="207">
        <v>-826170</v>
      </c>
      <c r="CL95" s="207">
        <v>353325.11</v>
      </c>
      <c r="CM95" s="207">
        <v>151391.936</v>
      </c>
      <c r="CN95" s="207">
        <v>201933.174</v>
      </c>
      <c r="CO95" s="207">
        <v>15172274.418323278</v>
      </c>
      <c r="CP95" s="207">
        <v>17437965.393004015</v>
      </c>
      <c r="CQ95" s="207">
        <v>7381</v>
      </c>
    </row>
    <row r="96" spans="1:95" ht="11.25">
      <c r="A96" s="207">
        <v>272</v>
      </c>
      <c r="B96" s="207" t="s">
        <v>153</v>
      </c>
      <c r="C96" s="207">
        <v>47657</v>
      </c>
      <c r="D96" s="207">
        <v>174060049.51000002</v>
      </c>
      <c r="E96" s="207">
        <v>55488566.14214601</v>
      </c>
      <c r="F96" s="207">
        <v>10680343.718559658</v>
      </c>
      <c r="G96" s="207">
        <v>240228959.3707057</v>
      </c>
      <c r="H96" s="207">
        <v>3664.46</v>
      </c>
      <c r="I96" s="207">
        <v>174637170.22</v>
      </c>
      <c r="J96" s="207">
        <v>65591789.150705695</v>
      </c>
      <c r="K96" s="207">
        <v>1972211.7329930635</v>
      </c>
      <c r="L96" s="207">
        <v>-3375021.186391488</v>
      </c>
      <c r="M96" s="207">
        <v>0</v>
      </c>
      <c r="N96" s="207">
        <v>64188979.697307274</v>
      </c>
      <c r="O96" s="207">
        <v>14912297.560163645</v>
      </c>
      <c r="P96" s="207">
        <v>79101277.25747092</v>
      </c>
      <c r="Q96" s="207">
        <v>3445</v>
      </c>
      <c r="R96" s="207">
        <v>640</v>
      </c>
      <c r="S96" s="207">
        <v>3778</v>
      </c>
      <c r="T96" s="207">
        <v>1715</v>
      </c>
      <c r="U96" s="207">
        <v>1732</v>
      </c>
      <c r="V96" s="207">
        <v>25981</v>
      </c>
      <c r="W96" s="207">
        <v>6069</v>
      </c>
      <c r="X96" s="207">
        <v>3037</v>
      </c>
      <c r="Y96" s="207">
        <v>1260</v>
      </c>
      <c r="Z96" s="207">
        <v>6001</v>
      </c>
      <c r="AA96" s="207">
        <v>1</v>
      </c>
      <c r="AB96" s="207">
        <v>40031</v>
      </c>
      <c r="AC96" s="207">
        <v>1624</v>
      </c>
      <c r="AD96" s="207">
        <v>10366</v>
      </c>
      <c r="AE96" s="481">
        <v>0.9855109538682615</v>
      </c>
      <c r="AF96" s="207">
        <v>55488566.14214601</v>
      </c>
      <c r="AG96" s="207" t="e">
        <v>#DIV/0!</v>
      </c>
      <c r="AH96" s="207" t="e">
        <v>#DIV/0!</v>
      </c>
      <c r="AI96" s="207" t="e">
        <v>#DIV/0!</v>
      </c>
      <c r="AJ96" s="175">
        <v>1744</v>
      </c>
      <c r="AK96" s="175">
        <v>21797</v>
      </c>
      <c r="AL96" s="175">
        <v>0.8201135648420622</v>
      </c>
      <c r="AM96" s="175">
        <v>1624</v>
      </c>
      <c r="AN96" s="175">
        <v>0.03407684075791594</v>
      </c>
      <c r="AO96" s="175">
        <v>0.030795761647452947</v>
      </c>
      <c r="AP96" s="175">
        <v>1</v>
      </c>
      <c r="AQ96" s="175">
        <v>6001</v>
      </c>
      <c r="AR96" s="175">
        <v>1</v>
      </c>
      <c r="AS96" s="175">
        <v>0</v>
      </c>
      <c r="AT96" s="175">
        <v>0</v>
      </c>
      <c r="AU96" s="175">
        <v>1445.11</v>
      </c>
      <c r="AV96" s="175">
        <v>32.97811239282823</v>
      </c>
      <c r="AW96" s="175">
        <v>0.5503808685199453</v>
      </c>
      <c r="AX96" s="175">
        <v>1313</v>
      </c>
      <c r="AY96" s="175">
        <v>14243</v>
      </c>
      <c r="AZ96" s="175">
        <v>0.0921856350487959</v>
      </c>
      <c r="BA96" s="175">
        <v>0.031001798964561407</v>
      </c>
      <c r="BB96" s="175">
        <v>0</v>
      </c>
      <c r="BC96" s="207">
        <v>19974</v>
      </c>
      <c r="BD96" s="175">
        <v>19221</v>
      </c>
      <c r="BE96" s="175">
        <v>1.0391759013578898</v>
      </c>
      <c r="BF96" s="175">
        <v>0.6302690187667968</v>
      </c>
      <c r="BG96" s="175">
        <v>0</v>
      </c>
      <c r="BH96" s="175">
        <v>1</v>
      </c>
      <c r="BI96" s="207">
        <v>0</v>
      </c>
      <c r="BJ96" s="207">
        <v>-11437.68</v>
      </c>
      <c r="BK96" s="207">
        <v>-195393.69999999998</v>
      </c>
      <c r="BL96" s="207">
        <v>-13343.960000000001</v>
      </c>
      <c r="BM96" s="207">
        <v>0</v>
      </c>
      <c r="BN96" s="207">
        <v>0</v>
      </c>
      <c r="BO96" s="207">
        <v>1459983</v>
      </c>
      <c r="BP96" s="207">
        <v>-1806229.302050136</v>
      </c>
      <c r="BQ96" s="207">
        <v>-2028281.9200000002</v>
      </c>
      <c r="BR96" s="207">
        <v>193897.22869046032</v>
      </c>
      <c r="BS96" s="207">
        <v>3497904</v>
      </c>
      <c r="BT96" s="207">
        <v>1150390</v>
      </c>
      <c r="BU96" s="207">
        <v>2560170.552761876</v>
      </c>
      <c r="BV96" s="207">
        <v>94908.11118518931</v>
      </c>
      <c r="BW96" s="207">
        <v>213758.12329429368</v>
      </c>
      <c r="BX96" s="207">
        <v>1350195.8835155452</v>
      </c>
      <c r="BY96" s="207">
        <v>2318477.82601972</v>
      </c>
      <c r="BZ96" s="207">
        <v>3666399.002961733</v>
      </c>
      <c r="CA96" s="207">
        <v>1089465.1001585778</v>
      </c>
      <c r="CB96" s="207">
        <v>1979008.618864164</v>
      </c>
      <c r="CC96" s="207">
        <v>4289.13</v>
      </c>
      <c r="CD96" s="207">
        <v>-195665.7744376876</v>
      </c>
      <c r="CE96" s="207">
        <v>3619625.7056586477</v>
      </c>
      <c r="CF96" s="207">
        <v>-3375021.186391488</v>
      </c>
      <c r="CG96" s="207">
        <v>2109941.6914058747</v>
      </c>
      <c r="CH96" s="207">
        <v>2717972.535715589</v>
      </c>
      <c r="CI96" s="207">
        <v>0</v>
      </c>
      <c r="CJ96" s="207">
        <v>14912297.560163645</v>
      </c>
      <c r="CK96" s="207">
        <v>-2527963</v>
      </c>
      <c r="CL96" s="207">
        <v>479166.9300000001</v>
      </c>
      <c r="CM96" s="207">
        <v>569451.278</v>
      </c>
      <c r="CN96" s="207">
        <v>-90284.34799999994</v>
      </c>
      <c r="CO96" s="207">
        <v>76573314.25747092</v>
      </c>
      <c r="CP96" s="207">
        <v>87033248.35936174</v>
      </c>
      <c r="CQ96" s="207">
        <v>47723</v>
      </c>
    </row>
    <row r="97" spans="1:95" ht="11.25">
      <c r="A97" s="207">
        <v>273</v>
      </c>
      <c r="B97" s="207" t="s">
        <v>154</v>
      </c>
      <c r="C97" s="207">
        <v>3834</v>
      </c>
      <c r="D97" s="207">
        <v>12867247.120000001</v>
      </c>
      <c r="E97" s="207">
        <v>5218020.0492702965</v>
      </c>
      <c r="F97" s="207">
        <v>2553251.5957067353</v>
      </c>
      <c r="G97" s="207">
        <v>20638518.764977034</v>
      </c>
      <c r="H97" s="207">
        <v>3664.46</v>
      </c>
      <c r="I97" s="207">
        <v>14049539.64</v>
      </c>
      <c r="J97" s="207">
        <v>6588979.124977034</v>
      </c>
      <c r="K97" s="207">
        <v>4394449.694901831</v>
      </c>
      <c r="L97" s="207">
        <v>-139846.1718058646</v>
      </c>
      <c r="M97" s="207">
        <v>0</v>
      </c>
      <c r="N97" s="207">
        <v>10843582.648073</v>
      </c>
      <c r="O97" s="207">
        <v>2814800.8850088543</v>
      </c>
      <c r="P97" s="207">
        <v>13658383.533081856</v>
      </c>
      <c r="Q97" s="207">
        <v>224</v>
      </c>
      <c r="R97" s="207">
        <v>30</v>
      </c>
      <c r="S97" s="207">
        <v>245</v>
      </c>
      <c r="T97" s="207">
        <v>99</v>
      </c>
      <c r="U97" s="207">
        <v>86</v>
      </c>
      <c r="V97" s="207">
        <v>2143</v>
      </c>
      <c r="W97" s="207">
        <v>585</v>
      </c>
      <c r="X97" s="207">
        <v>320</v>
      </c>
      <c r="Y97" s="207">
        <v>102</v>
      </c>
      <c r="Z97" s="207">
        <v>30</v>
      </c>
      <c r="AA97" s="207">
        <v>3</v>
      </c>
      <c r="AB97" s="207">
        <v>3745</v>
      </c>
      <c r="AC97" s="207">
        <v>56</v>
      </c>
      <c r="AD97" s="207">
        <v>1007</v>
      </c>
      <c r="AE97" s="481">
        <v>1.1519623584102956</v>
      </c>
      <c r="AF97" s="207">
        <v>5218020.0492702965</v>
      </c>
      <c r="AG97" s="207" t="e">
        <v>#DIV/0!</v>
      </c>
      <c r="AH97" s="207" t="e">
        <v>#DIV/0!</v>
      </c>
      <c r="AI97" s="207" t="e">
        <v>#DIV/0!</v>
      </c>
      <c r="AJ97" s="175">
        <v>236</v>
      </c>
      <c r="AK97" s="175">
        <v>1814</v>
      </c>
      <c r="AL97" s="175">
        <v>1.3335182360929816</v>
      </c>
      <c r="AM97" s="175">
        <v>56</v>
      </c>
      <c r="AN97" s="175">
        <v>0.014606155451225874</v>
      </c>
      <c r="AO97" s="175">
        <v>0.011325076340762876</v>
      </c>
      <c r="AP97" s="175">
        <v>0</v>
      </c>
      <c r="AQ97" s="175">
        <v>30</v>
      </c>
      <c r="AR97" s="175">
        <v>3</v>
      </c>
      <c r="AS97" s="175">
        <v>0</v>
      </c>
      <c r="AT97" s="175">
        <v>0</v>
      </c>
      <c r="AU97" s="175">
        <v>2559.2</v>
      </c>
      <c r="AV97" s="175">
        <v>1.4981244138793375</v>
      </c>
      <c r="AW97" s="175">
        <v>12.115497199537032</v>
      </c>
      <c r="AX97" s="175">
        <v>165</v>
      </c>
      <c r="AY97" s="175">
        <v>1093</v>
      </c>
      <c r="AZ97" s="175">
        <v>0.15096065873741996</v>
      </c>
      <c r="BA97" s="175">
        <v>0.08977682265318546</v>
      </c>
      <c r="BB97" s="175">
        <v>1.713932</v>
      </c>
      <c r="BC97" s="207">
        <v>1445</v>
      </c>
      <c r="BD97" s="175">
        <v>1563</v>
      </c>
      <c r="BE97" s="175">
        <v>0.9245041586692259</v>
      </c>
      <c r="BF97" s="175">
        <v>0.5155972760781328</v>
      </c>
      <c r="BG97" s="175">
        <v>0</v>
      </c>
      <c r="BH97" s="175">
        <v>3</v>
      </c>
      <c r="BI97" s="207">
        <v>0</v>
      </c>
      <c r="BJ97" s="207">
        <v>-920.16</v>
      </c>
      <c r="BK97" s="207">
        <v>-15719.399999999998</v>
      </c>
      <c r="BL97" s="207">
        <v>-1073.5200000000002</v>
      </c>
      <c r="BM97" s="207">
        <v>0</v>
      </c>
      <c r="BN97" s="207">
        <v>0</v>
      </c>
      <c r="BO97" s="207">
        <v>-16074</v>
      </c>
      <c r="BP97" s="207">
        <v>-55533.04651125621</v>
      </c>
      <c r="BQ97" s="207">
        <v>-163175.04</v>
      </c>
      <c r="BR97" s="207">
        <v>159790.83063413762</v>
      </c>
      <c r="BS97" s="207">
        <v>309744</v>
      </c>
      <c r="BT97" s="207">
        <v>129398</v>
      </c>
      <c r="BU97" s="207">
        <v>320372.58274171664</v>
      </c>
      <c r="BV97" s="207">
        <v>19615.74455248039</v>
      </c>
      <c r="BW97" s="207">
        <v>-4306.018548181757</v>
      </c>
      <c r="BX97" s="207">
        <v>105900.97151327858</v>
      </c>
      <c r="BY97" s="207">
        <v>256747.6903397223</v>
      </c>
      <c r="BZ97" s="207">
        <v>335575.45699918334</v>
      </c>
      <c r="CA97" s="207">
        <v>129767.92647972985</v>
      </c>
      <c r="CB97" s="207">
        <v>202432.0424911791</v>
      </c>
      <c r="CC97" s="207">
        <v>345.06</v>
      </c>
      <c r="CD97" s="207">
        <v>3967.8709573483357</v>
      </c>
      <c r="CE97" s="207">
        <v>333094.45470539154</v>
      </c>
      <c r="CF97" s="207">
        <v>-139846.1718058646</v>
      </c>
      <c r="CG97" s="207">
        <v>181269.03311390555</v>
      </c>
      <c r="CH97" s="207">
        <v>295991.315873508</v>
      </c>
      <c r="CI97" s="207">
        <v>0</v>
      </c>
      <c r="CJ97" s="207">
        <v>2814800.8850088543</v>
      </c>
      <c r="CK97" s="207">
        <v>-93704</v>
      </c>
      <c r="CL97" s="207">
        <v>174583.37</v>
      </c>
      <c r="CM97" s="207">
        <v>21814.4</v>
      </c>
      <c r="CN97" s="207">
        <v>152768.97</v>
      </c>
      <c r="CO97" s="207">
        <v>13564679.533081856</v>
      </c>
      <c r="CP97" s="207">
        <v>14513671.931362337</v>
      </c>
      <c r="CQ97" s="207">
        <v>3854</v>
      </c>
    </row>
    <row r="98" spans="1:95" ht="11.25">
      <c r="A98" s="207">
        <v>275</v>
      </c>
      <c r="B98" s="207" t="s">
        <v>155</v>
      </c>
      <c r="C98" s="207">
        <v>2698</v>
      </c>
      <c r="D98" s="207">
        <v>10422474.39</v>
      </c>
      <c r="E98" s="207">
        <v>3972296.5741290147</v>
      </c>
      <c r="F98" s="207">
        <v>742465.1213338117</v>
      </c>
      <c r="G98" s="207">
        <v>15137236.085462827</v>
      </c>
      <c r="H98" s="207">
        <v>3664.46</v>
      </c>
      <c r="I98" s="207">
        <v>9886713.08</v>
      </c>
      <c r="J98" s="207">
        <v>5250523.005462827</v>
      </c>
      <c r="K98" s="207">
        <v>231639.24745166372</v>
      </c>
      <c r="L98" s="207">
        <v>94961.92105408921</v>
      </c>
      <c r="M98" s="207">
        <v>0</v>
      </c>
      <c r="N98" s="207">
        <v>5577124.173968581</v>
      </c>
      <c r="O98" s="207">
        <v>2410454.1119198087</v>
      </c>
      <c r="P98" s="207">
        <v>7987578.285888389</v>
      </c>
      <c r="Q98" s="207">
        <v>125</v>
      </c>
      <c r="R98" s="207">
        <v>17</v>
      </c>
      <c r="S98" s="207">
        <v>166</v>
      </c>
      <c r="T98" s="207">
        <v>96</v>
      </c>
      <c r="U98" s="207">
        <v>76</v>
      </c>
      <c r="V98" s="207">
        <v>1342</v>
      </c>
      <c r="W98" s="207">
        <v>471</v>
      </c>
      <c r="X98" s="207">
        <v>278</v>
      </c>
      <c r="Y98" s="207">
        <v>127</v>
      </c>
      <c r="Z98" s="207">
        <v>1</v>
      </c>
      <c r="AA98" s="207">
        <v>0</v>
      </c>
      <c r="AB98" s="207">
        <v>2671</v>
      </c>
      <c r="AC98" s="207">
        <v>26</v>
      </c>
      <c r="AD98" s="207">
        <v>876</v>
      </c>
      <c r="AE98" s="481">
        <v>1.2461903208198588</v>
      </c>
      <c r="AF98" s="207">
        <v>3972296.5741290147</v>
      </c>
      <c r="AG98" s="207" t="e">
        <v>#DIV/0!</v>
      </c>
      <c r="AH98" s="207" t="e">
        <v>#DIV/0!</v>
      </c>
      <c r="AI98" s="207" t="e">
        <v>#DIV/0!</v>
      </c>
      <c r="AJ98" s="175">
        <v>121</v>
      </c>
      <c r="AK98" s="175">
        <v>1149</v>
      </c>
      <c r="AL98" s="175">
        <v>1.079417812515647</v>
      </c>
      <c r="AM98" s="175">
        <v>26</v>
      </c>
      <c r="AN98" s="175">
        <v>0.009636767976278725</v>
      </c>
      <c r="AO98" s="175">
        <v>0.006355688865815729</v>
      </c>
      <c r="AP98" s="175">
        <v>0</v>
      </c>
      <c r="AQ98" s="175">
        <v>1</v>
      </c>
      <c r="AR98" s="175">
        <v>0</v>
      </c>
      <c r="AS98" s="175">
        <v>0</v>
      </c>
      <c r="AT98" s="175">
        <v>0</v>
      </c>
      <c r="AU98" s="175">
        <v>512.93</v>
      </c>
      <c r="AV98" s="175">
        <v>5.259976994911587</v>
      </c>
      <c r="AW98" s="175">
        <v>3.4506847004220136</v>
      </c>
      <c r="AX98" s="175">
        <v>90</v>
      </c>
      <c r="AY98" s="175">
        <v>727</v>
      </c>
      <c r="AZ98" s="175">
        <v>0.12379642365887207</v>
      </c>
      <c r="BA98" s="175">
        <v>0.06261258757463758</v>
      </c>
      <c r="BB98" s="175">
        <v>0.271333</v>
      </c>
      <c r="BC98" s="207">
        <v>774</v>
      </c>
      <c r="BD98" s="175">
        <v>941</v>
      </c>
      <c r="BE98" s="175">
        <v>0.822529224229543</v>
      </c>
      <c r="BF98" s="175">
        <v>0.4136223416384499</v>
      </c>
      <c r="BG98" s="175">
        <v>0</v>
      </c>
      <c r="BH98" s="175">
        <v>0</v>
      </c>
      <c r="BI98" s="207">
        <v>0</v>
      </c>
      <c r="BJ98" s="207">
        <v>-647.52</v>
      </c>
      <c r="BK98" s="207">
        <v>-11061.8</v>
      </c>
      <c r="BL98" s="207">
        <v>-755.44</v>
      </c>
      <c r="BM98" s="207">
        <v>0</v>
      </c>
      <c r="BN98" s="207">
        <v>0</v>
      </c>
      <c r="BO98" s="207">
        <v>78006</v>
      </c>
      <c r="BP98" s="207">
        <v>-43011.496110360225</v>
      </c>
      <c r="BQ98" s="207">
        <v>-114826.88</v>
      </c>
      <c r="BR98" s="207">
        <v>212913.65034567937</v>
      </c>
      <c r="BS98" s="207">
        <v>294459</v>
      </c>
      <c r="BT98" s="207">
        <v>87146</v>
      </c>
      <c r="BU98" s="207">
        <v>235915.4548271972</v>
      </c>
      <c r="BV98" s="207">
        <v>10266.407253946101</v>
      </c>
      <c r="BW98" s="207">
        <v>901.3692978763046</v>
      </c>
      <c r="BX98" s="207">
        <v>107805.7106164793</v>
      </c>
      <c r="BY98" s="207">
        <v>154011.59345537188</v>
      </c>
      <c r="BZ98" s="207">
        <v>238896.83094941953</v>
      </c>
      <c r="CA98" s="207">
        <v>69074.1311257649</v>
      </c>
      <c r="CB98" s="207">
        <v>127791.46348937791</v>
      </c>
      <c r="CC98" s="207">
        <v>242.82</v>
      </c>
      <c r="CD98" s="207">
        <v>4920.165455497274</v>
      </c>
      <c r="CE98" s="207">
        <v>431704.6771644495</v>
      </c>
      <c r="CF98" s="207">
        <v>94961.92105408921</v>
      </c>
      <c r="CG98" s="207">
        <v>132951.02136327277</v>
      </c>
      <c r="CH98" s="207">
        <v>177875.9939848986</v>
      </c>
      <c r="CI98" s="207">
        <v>0</v>
      </c>
      <c r="CJ98" s="207">
        <v>2410454.1119198087</v>
      </c>
      <c r="CK98" s="207">
        <v>-243955</v>
      </c>
      <c r="CL98" s="207">
        <v>60057.770000000004</v>
      </c>
      <c r="CM98" s="207">
        <v>30949.18</v>
      </c>
      <c r="CN98" s="207">
        <v>29108.590000000004</v>
      </c>
      <c r="CO98" s="207">
        <v>7743623.285888389</v>
      </c>
      <c r="CP98" s="207">
        <v>11759003.697890006</v>
      </c>
      <c r="CQ98" s="207">
        <v>2748</v>
      </c>
    </row>
    <row r="99" spans="1:95" ht="11.25">
      <c r="A99" s="207">
        <v>276</v>
      </c>
      <c r="B99" s="207" t="s">
        <v>156</v>
      </c>
      <c r="C99" s="207">
        <v>14849</v>
      </c>
      <c r="D99" s="207">
        <v>53297298.120000005</v>
      </c>
      <c r="E99" s="207">
        <v>14417642.337722927</v>
      </c>
      <c r="F99" s="207">
        <v>2607166.0200845837</v>
      </c>
      <c r="G99" s="207">
        <v>70322106.47780752</v>
      </c>
      <c r="H99" s="207">
        <v>3664.46</v>
      </c>
      <c r="I99" s="207">
        <v>54413566.54</v>
      </c>
      <c r="J99" s="207">
        <v>15908539.937807523</v>
      </c>
      <c r="K99" s="207">
        <v>100723.25843786588</v>
      </c>
      <c r="L99" s="207">
        <v>-1292788.3378091077</v>
      </c>
      <c r="M99" s="207">
        <v>0</v>
      </c>
      <c r="N99" s="207">
        <v>14716474.85843628</v>
      </c>
      <c r="O99" s="207">
        <v>7689470.760532406</v>
      </c>
      <c r="P99" s="207">
        <v>22405945.618968688</v>
      </c>
      <c r="Q99" s="207">
        <v>1155</v>
      </c>
      <c r="R99" s="207">
        <v>224</v>
      </c>
      <c r="S99" s="207">
        <v>1395</v>
      </c>
      <c r="T99" s="207">
        <v>651</v>
      </c>
      <c r="U99" s="207">
        <v>609</v>
      </c>
      <c r="V99" s="207">
        <v>8359</v>
      </c>
      <c r="W99" s="207">
        <v>1594</v>
      </c>
      <c r="X99" s="207">
        <v>635</v>
      </c>
      <c r="Y99" s="207">
        <v>227</v>
      </c>
      <c r="Z99" s="207">
        <v>14</v>
      </c>
      <c r="AA99" s="207">
        <v>0</v>
      </c>
      <c r="AB99" s="207">
        <v>14485</v>
      </c>
      <c r="AC99" s="207">
        <v>350</v>
      </c>
      <c r="AD99" s="207">
        <v>2456</v>
      </c>
      <c r="AE99" s="481">
        <v>0.8218294382088949</v>
      </c>
      <c r="AF99" s="207">
        <v>14417642.337722927</v>
      </c>
      <c r="AG99" s="207" t="e">
        <v>#DIV/0!</v>
      </c>
      <c r="AH99" s="207" t="e">
        <v>#DIV/0!</v>
      </c>
      <c r="AI99" s="207" t="e">
        <v>#DIV/0!</v>
      </c>
      <c r="AJ99" s="175">
        <v>703</v>
      </c>
      <c r="AK99" s="175">
        <v>7254</v>
      </c>
      <c r="AL99" s="175">
        <v>0.9933493516328139</v>
      </c>
      <c r="AM99" s="175">
        <v>350</v>
      </c>
      <c r="AN99" s="175">
        <v>0.023570610815543135</v>
      </c>
      <c r="AO99" s="175">
        <v>0.02028953170508014</v>
      </c>
      <c r="AP99" s="175">
        <v>0</v>
      </c>
      <c r="AQ99" s="175">
        <v>14</v>
      </c>
      <c r="AR99" s="175">
        <v>0</v>
      </c>
      <c r="AS99" s="175">
        <v>0</v>
      </c>
      <c r="AT99" s="175">
        <v>0</v>
      </c>
      <c r="AU99" s="175">
        <v>799.2</v>
      </c>
      <c r="AV99" s="175">
        <v>18.57982982982983</v>
      </c>
      <c r="AW99" s="175">
        <v>0.9768938847745846</v>
      </c>
      <c r="AX99" s="175">
        <v>374</v>
      </c>
      <c r="AY99" s="175">
        <v>5096</v>
      </c>
      <c r="AZ99" s="175">
        <v>0.07339089481946624</v>
      </c>
      <c r="BA99" s="175">
        <v>0.01220705873523175</v>
      </c>
      <c r="BB99" s="175">
        <v>0</v>
      </c>
      <c r="BC99" s="207">
        <v>3250</v>
      </c>
      <c r="BD99" s="175">
        <v>6345</v>
      </c>
      <c r="BE99" s="175">
        <v>0.512214342001576</v>
      </c>
      <c r="BF99" s="175">
        <v>0.10330745941048292</v>
      </c>
      <c r="BG99" s="175">
        <v>0</v>
      </c>
      <c r="BH99" s="175">
        <v>0</v>
      </c>
      <c r="BI99" s="207">
        <v>0</v>
      </c>
      <c r="BJ99" s="207">
        <v>-3563.7599999999998</v>
      </c>
      <c r="BK99" s="207">
        <v>-60880.899999999994</v>
      </c>
      <c r="BL99" s="207">
        <v>-4157.72</v>
      </c>
      <c r="BM99" s="207">
        <v>0</v>
      </c>
      <c r="BN99" s="207">
        <v>0</v>
      </c>
      <c r="BO99" s="207">
        <v>96865</v>
      </c>
      <c r="BP99" s="207">
        <v>-450456.51912735833</v>
      </c>
      <c r="BQ99" s="207">
        <v>-631973.4400000001</v>
      </c>
      <c r="BR99" s="207">
        <v>-31189.175071258098</v>
      </c>
      <c r="BS99" s="207">
        <v>949206</v>
      </c>
      <c r="BT99" s="207">
        <v>298870</v>
      </c>
      <c r="BU99" s="207">
        <v>652050.1110439254</v>
      </c>
      <c r="BV99" s="207">
        <v>10525.031466713928</v>
      </c>
      <c r="BW99" s="207">
        <v>-23583.385672022665</v>
      </c>
      <c r="BX99" s="207">
        <v>307887.29031200556</v>
      </c>
      <c r="BY99" s="207">
        <v>676315.8945541244</v>
      </c>
      <c r="BZ99" s="207">
        <v>1056294.202249494</v>
      </c>
      <c r="CA99" s="207">
        <v>278307.3585550578</v>
      </c>
      <c r="CB99" s="207">
        <v>547721.4104425646</v>
      </c>
      <c r="CC99" s="207">
        <v>1336.4099999999999</v>
      </c>
      <c r="CD99" s="207">
        <v>74923.86091316651</v>
      </c>
      <c r="CE99" s="207">
        <v>774278.8113182505</v>
      </c>
      <c r="CF99" s="207">
        <v>-1292788.3378091077</v>
      </c>
      <c r="CG99" s="207">
        <v>617642.205476342</v>
      </c>
      <c r="CH99" s="207">
        <v>771152.1490599479</v>
      </c>
      <c r="CI99" s="207">
        <v>0</v>
      </c>
      <c r="CJ99" s="207">
        <v>7689470.760532406</v>
      </c>
      <c r="CK99" s="207">
        <v>-1273527</v>
      </c>
      <c r="CL99" s="207">
        <v>439696.50000000006</v>
      </c>
      <c r="CM99" s="207">
        <v>402068.02340000006</v>
      </c>
      <c r="CN99" s="207">
        <v>37628.476599999995</v>
      </c>
      <c r="CO99" s="207">
        <v>21132418.618968688</v>
      </c>
      <c r="CP99" s="207">
        <v>23812597.553770322</v>
      </c>
      <c r="CQ99" s="207">
        <v>14830</v>
      </c>
    </row>
    <row r="100" spans="1:95" ht="11.25">
      <c r="A100" s="207">
        <v>280</v>
      </c>
      <c r="B100" s="207" t="s">
        <v>157</v>
      </c>
      <c r="C100" s="207">
        <v>2122</v>
      </c>
      <c r="D100" s="207">
        <v>7920294.25</v>
      </c>
      <c r="E100" s="207">
        <v>2366597.0135538797</v>
      </c>
      <c r="F100" s="207">
        <v>1373280.923997483</v>
      </c>
      <c r="G100" s="207">
        <v>11660172.187551362</v>
      </c>
      <c r="H100" s="207">
        <v>3664.46</v>
      </c>
      <c r="I100" s="207">
        <v>7775984.12</v>
      </c>
      <c r="J100" s="207">
        <v>3884188.0675513623</v>
      </c>
      <c r="K100" s="207">
        <v>195201.98620964892</v>
      </c>
      <c r="L100" s="207">
        <v>64810.59921656991</v>
      </c>
      <c r="M100" s="207">
        <v>0</v>
      </c>
      <c r="N100" s="207">
        <v>4144200.652977581</v>
      </c>
      <c r="O100" s="207">
        <v>1825588.6084412152</v>
      </c>
      <c r="P100" s="207">
        <v>5969789.261418796</v>
      </c>
      <c r="Q100" s="207">
        <v>118</v>
      </c>
      <c r="R100" s="207">
        <v>20</v>
      </c>
      <c r="S100" s="207">
        <v>139</v>
      </c>
      <c r="T100" s="207">
        <v>57</v>
      </c>
      <c r="U100" s="207">
        <v>62</v>
      </c>
      <c r="V100" s="207">
        <v>1133</v>
      </c>
      <c r="W100" s="207">
        <v>325</v>
      </c>
      <c r="X100" s="207">
        <v>171</v>
      </c>
      <c r="Y100" s="207">
        <v>97</v>
      </c>
      <c r="Z100" s="207">
        <v>1820</v>
      </c>
      <c r="AA100" s="207">
        <v>0</v>
      </c>
      <c r="AB100" s="207">
        <v>70</v>
      </c>
      <c r="AC100" s="207">
        <v>232</v>
      </c>
      <c r="AD100" s="207">
        <v>593</v>
      </c>
      <c r="AE100" s="481">
        <v>0.9439817234257222</v>
      </c>
      <c r="AF100" s="207">
        <v>2366597.0135538797</v>
      </c>
      <c r="AG100" s="207" t="e">
        <v>#DIV/0!</v>
      </c>
      <c r="AH100" s="207" t="e">
        <v>#DIV/0!</v>
      </c>
      <c r="AI100" s="207" t="e">
        <v>#DIV/0!</v>
      </c>
      <c r="AJ100" s="175">
        <v>57</v>
      </c>
      <c r="AK100" s="175">
        <v>1012</v>
      </c>
      <c r="AL100" s="175">
        <v>0.5773226308683179</v>
      </c>
      <c r="AM100" s="175">
        <v>232</v>
      </c>
      <c r="AN100" s="175">
        <v>0.10933081998114987</v>
      </c>
      <c r="AO100" s="175">
        <v>0.10604974087068687</v>
      </c>
      <c r="AP100" s="175">
        <v>3</v>
      </c>
      <c r="AQ100" s="175">
        <v>1820</v>
      </c>
      <c r="AR100" s="175">
        <v>0</v>
      </c>
      <c r="AS100" s="175">
        <v>0</v>
      </c>
      <c r="AT100" s="175">
        <v>0</v>
      </c>
      <c r="AU100" s="175">
        <v>236.01</v>
      </c>
      <c r="AV100" s="175">
        <v>8.991144443032075</v>
      </c>
      <c r="AW100" s="175">
        <v>2.0187109945697066</v>
      </c>
      <c r="AX100" s="175">
        <v>121</v>
      </c>
      <c r="AY100" s="175">
        <v>601</v>
      </c>
      <c r="AZ100" s="175">
        <v>0.20133111480865223</v>
      </c>
      <c r="BA100" s="175">
        <v>0.14014727872441773</v>
      </c>
      <c r="BB100" s="175">
        <v>0.3136</v>
      </c>
      <c r="BC100" s="207">
        <v>713</v>
      </c>
      <c r="BD100" s="175">
        <v>918</v>
      </c>
      <c r="BE100" s="175">
        <v>0.7766884531590414</v>
      </c>
      <c r="BF100" s="175">
        <v>0.36778157056794836</v>
      </c>
      <c r="BG100" s="175">
        <v>0</v>
      </c>
      <c r="BH100" s="175">
        <v>0</v>
      </c>
      <c r="BI100" s="207">
        <v>0</v>
      </c>
      <c r="BJ100" s="207">
        <v>-509.28</v>
      </c>
      <c r="BK100" s="207">
        <v>-8700.199999999999</v>
      </c>
      <c r="BL100" s="207">
        <v>-594.1600000000001</v>
      </c>
      <c r="BM100" s="207">
        <v>0</v>
      </c>
      <c r="BN100" s="207">
        <v>0</v>
      </c>
      <c r="BO100" s="207">
        <v>-47819</v>
      </c>
      <c r="BP100" s="207">
        <v>-35286.48912731468</v>
      </c>
      <c r="BQ100" s="207">
        <v>-90312.32</v>
      </c>
      <c r="BR100" s="207">
        <v>307910.7989604967</v>
      </c>
      <c r="BS100" s="207">
        <v>215330</v>
      </c>
      <c r="BT100" s="207">
        <v>87084</v>
      </c>
      <c r="BU100" s="207">
        <v>208552.30023377578</v>
      </c>
      <c r="BV100" s="207">
        <v>13536.378379850774</v>
      </c>
      <c r="BW100" s="207">
        <v>38525.12046635463</v>
      </c>
      <c r="BX100" s="207">
        <v>77394.8217952806</v>
      </c>
      <c r="BY100" s="207">
        <v>160512.82890616357</v>
      </c>
      <c r="BZ100" s="207">
        <v>219656.9907228866</v>
      </c>
      <c r="CA100" s="207">
        <v>86132.62617675014</v>
      </c>
      <c r="CB100" s="207">
        <v>127685.51874162783</v>
      </c>
      <c r="CC100" s="207">
        <v>190.98</v>
      </c>
      <c r="CD100" s="207">
        <v>-33676.144296082806</v>
      </c>
      <c r="CE100" s="207">
        <v>331119.2283438846</v>
      </c>
      <c r="CF100" s="207">
        <v>64810.59921656991</v>
      </c>
      <c r="CG100" s="207">
        <v>102411.81367947072</v>
      </c>
      <c r="CH100" s="207">
        <v>195387.16512555533</v>
      </c>
      <c r="CI100" s="207">
        <v>0</v>
      </c>
      <c r="CJ100" s="207">
        <v>1825588.6084412152</v>
      </c>
      <c r="CK100" s="207">
        <v>-56344</v>
      </c>
      <c r="CL100" s="207">
        <v>0</v>
      </c>
      <c r="CM100" s="207">
        <v>617620.2</v>
      </c>
      <c r="CN100" s="207">
        <v>-617620.2</v>
      </c>
      <c r="CO100" s="207">
        <v>5913445.261418796</v>
      </c>
      <c r="CP100" s="207">
        <v>7127843.456787828</v>
      </c>
      <c r="CQ100" s="207">
        <v>2154</v>
      </c>
    </row>
    <row r="101" spans="1:95" ht="11.25">
      <c r="A101" s="207">
        <v>284</v>
      </c>
      <c r="B101" s="207" t="s">
        <v>158</v>
      </c>
      <c r="C101" s="207">
        <v>2340</v>
      </c>
      <c r="D101" s="207">
        <v>9198867.100000001</v>
      </c>
      <c r="E101" s="207">
        <v>2836064.2504739286</v>
      </c>
      <c r="F101" s="207">
        <v>536298.3975910798</v>
      </c>
      <c r="G101" s="207">
        <v>12571229.74806501</v>
      </c>
      <c r="H101" s="207">
        <v>3664.46</v>
      </c>
      <c r="I101" s="207">
        <v>8574836.4</v>
      </c>
      <c r="J101" s="207">
        <v>3996393.3480650093</v>
      </c>
      <c r="K101" s="207">
        <v>94183.85164005304</v>
      </c>
      <c r="L101" s="207">
        <v>22408.67291002476</v>
      </c>
      <c r="M101" s="207">
        <v>0</v>
      </c>
      <c r="N101" s="207">
        <v>4112985.8726150873</v>
      </c>
      <c r="O101" s="207">
        <v>1900316.8112582816</v>
      </c>
      <c r="P101" s="207">
        <v>6013302.683873368</v>
      </c>
      <c r="Q101" s="207">
        <v>120</v>
      </c>
      <c r="R101" s="207">
        <v>21</v>
      </c>
      <c r="S101" s="207">
        <v>140</v>
      </c>
      <c r="T101" s="207">
        <v>65</v>
      </c>
      <c r="U101" s="207">
        <v>79</v>
      </c>
      <c r="V101" s="207">
        <v>1157</v>
      </c>
      <c r="W101" s="207">
        <v>370</v>
      </c>
      <c r="X101" s="207">
        <v>271</v>
      </c>
      <c r="Y101" s="207">
        <v>117</v>
      </c>
      <c r="Z101" s="207">
        <v>9</v>
      </c>
      <c r="AA101" s="207">
        <v>0</v>
      </c>
      <c r="AB101" s="207">
        <v>2234</v>
      </c>
      <c r="AC101" s="207">
        <v>97</v>
      </c>
      <c r="AD101" s="207">
        <v>758</v>
      </c>
      <c r="AE101" s="481">
        <v>1.025852358909224</v>
      </c>
      <c r="AF101" s="207">
        <v>2836064.2504739286</v>
      </c>
      <c r="AG101" s="207" t="e">
        <v>#DIV/0!</v>
      </c>
      <c r="AH101" s="207" t="e">
        <v>#DIV/0!</v>
      </c>
      <c r="AI101" s="207" t="e">
        <v>#DIV/0!</v>
      </c>
      <c r="AJ101" s="175">
        <v>61</v>
      </c>
      <c r="AK101" s="175">
        <v>1021</v>
      </c>
      <c r="AL101" s="175">
        <v>0.6123903405461278</v>
      </c>
      <c r="AM101" s="175">
        <v>97</v>
      </c>
      <c r="AN101" s="175">
        <v>0.04145299145299145</v>
      </c>
      <c r="AO101" s="175">
        <v>0.03817191234252845</v>
      </c>
      <c r="AP101" s="175">
        <v>0</v>
      </c>
      <c r="AQ101" s="175">
        <v>9</v>
      </c>
      <c r="AR101" s="175">
        <v>0</v>
      </c>
      <c r="AS101" s="175">
        <v>0</v>
      </c>
      <c r="AT101" s="175">
        <v>0</v>
      </c>
      <c r="AU101" s="175">
        <v>191.49</v>
      </c>
      <c r="AV101" s="175">
        <v>12.219959266802443</v>
      </c>
      <c r="AW101" s="175">
        <v>1.4853177285313948</v>
      </c>
      <c r="AX101" s="175">
        <v>100</v>
      </c>
      <c r="AY101" s="175">
        <v>650</v>
      </c>
      <c r="AZ101" s="175">
        <v>0.15384615384615385</v>
      </c>
      <c r="BA101" s="175">
        <v>0.09266231776191935</v>
      </c>
      <c r="BB101" s="175">
        <v>0</v>
      </c>
      <c r="BC101" s="207">
        <v>933</v>
      </c>
      <c r="BD101" s="175">
        <v>913</v>
      </c>
      <c r="BE101" s="175">
        <v>1.0219058050383352</v>
      </c>
      <c r="BF101" s="175">
        <v>0.6129989224472421</v>
      </c>
      <c r="BG101" s="175">
        <v>0</v>
      </c>
      <c r="BH101" s="175">
        <v>0</v>
      </c>
      <c r="BI101" s="207">
        <v>0</v>
      </c>
      <c r="BJ101" s="207">
        <v>-561.6</v>
      </c>
      <c r="BK101" s="207">
        <v>-9594</v>
      </c>
      <c r="BL101" s="207">
        <v>-655.2</v>
      </c>
      <c r="BM101" s="207">
        <v>0</v>
      </c>
      <c r="BN101" s="207">
        <v>0</v>
      </c>
      <c r="BO101" s="207">
        <v>-58672</v>
      </c>
      <c r="BP101" s="207">
        <v>-12823.365524043591</v>
      </c>
      <c r="BQ101" s="207">
        <v>-99590.40000000001</v>
      </c>
      <c r="BR101" s="207">
        <v>240131.28113703616</v>
      </c>
      <c r="BS101" s="207">
        <v>238534</v>
      </c>
      <c r="BT101" s="207">
        <v>77683</v>
      </c>
      <c r="BU101" s="207">
        <v>183775.91836874714</v>
      </c>
      <c r="BV101" s="207">
        <v>9914.914833124469</v>
      </c>
      <c r="BW101" s="207">
        <v>25160.51397010668</v>
      </c>
      <c r="BX101" s="207">
        <v>84042.742812827</v>
      </c>
      <c r="BY101" s="207">
        <v>143275.3160113607</v>
      </c>
      <c r="BZ101" s="207">
        <v>216829.0949552883</v>
      </c>
      <c r="CA101" s="207">
        <v>70375.32850897516</v>
      </c>
      <c r="CB101" s="207">
        <v>115007.48072680269</v>
      </c>
      <c r="CC101" s="207">
        <v>210.6</v>
      </c>
      <c r="CD101" s="207">
        <v>-4412.315672150267</v>
      </c>
      <c r="CE101" s="207">
        <v>289987.8384340683</v>
      </c>
      <c r="CF101" s="207">
        <v>22408.67291002476</v>
      </c>
      <c r="CG101" s="207">
        <v>110413.67296918252</v>
      </c>
      <c r="CH101" s="207">
        <v>170360.03619232262</v>
      </c>
      <c r="CI101" s="207">
        <v>0</v>
      </c>
      <c r="CJ101" s="207">
        <v>1900316.8112582816</v>
      </c>
      <c r="CK101" s="207">
        <v>535242</v>
      </c>
      <c r="CL101" s="207">
        <v>963991.9700000001</v>
      </c>
      <c r="CM101" s="207">
        <v>43042.538</v>
      </c>
      <c r="CN101" s="207">
        <v>920949.432</v>
      </c>
      <c r="CO101" s="207">
        <v>6548544.683873368</v>
      </c>
      <c r="CP101" s="207">
        <v>7415524.371669862</v>
      </c>
      <c r="CQ101" s="207">
        <v>2359</v>
      </c>
    </row>
    <row r="102" spans="1:95" ht="11.25">
      <c r="A102" s="207">
        <v>285</v>
      </c>
      <c r="B102" s="207" t="s">
        <v>159</v>
      </c>
      <c r="C102" s="207">
        <v>52883</v>
      </c>
      <c r="D102" s="207">
        <v>181830418.07</v>
      </c>
      <c r="E102" s="207">
        <v>84822074.38492325</v>
      </c>
      <c r="F102" s="207">
        <v>19428819.94854553</v>
      </c>
      <c r="G102" s="207">
        <v>286081312.4034688</v>
      </c>
      <c r="H102" s="207">
        <v>3664.46</v>
      </c>
      <c r="I102" s="207">
        <v>193787638.18</v>
      </c>
      <c r="J102" s="207">
        <v>92293674.22346878</v>
      </c>
      <c r="K102" s="207">
        <v>2439573.6989251804</v>
      </c>
      <c r="L102" s="207">
        <v>-5871403.071147591</v>
      </c>
      <c r="M102" s="207">
        <v>0</v>
      </c>
      <c r="N102" s="207">
        <v>88861844.85124637</v>
      </c>
      <c r="O102" s="207">
        <v>12719607.092644306</v>
      </c>
      <c r="P102" s="207">
        <v>101581451.94389068</v>
      </c>
      <c r="Q102" s="207">
        <v>2560</v>
      </c>
      <c r="R102" s="207">
        <v>499</v>
      </c>
      <c r="S102" s="207">
        <v>3074</v>
      </c>
      <c r="T102" s="207">
        <v>1581</v>
      </c>
      <c r="U102" s="207">
        <v>1635</v>
      </c>
      <c r="V102" s="207">
        <v>29623</v>
      </c>
      <c r="W102" s="207">
        <v>8030</v>
      </c>
      <c r="X102" s="207">
        <v>4083</v>
      </c>
      <c r="Y102" s="207">
        <v>1798</v>
      </c>
      <c r="Z102" s="207">
        <v>504</v>
      </c>
      <c r="AA102" s="207">
        <v>3</v>
      </c>
      <c r="AB102" s="207">
        <v>47439</v>
      </c>
      <c r="AC102" s="207">
        <v>4937</v>
      </c>
      <c r="AD102" s="207">
        <v>13911</v>
      </c>
      <c r="AE102" s="481">
        <v>1.3576175963834842</v>
      </c>
      <c r="AF102" s="207">
        <v>84822074.38492325</v>
      </c>
      <c r="AG102" s="207" t="e">
        <v>#DIV/0!</v>
      </c>
      <c r="AH102" s="207" t="e">
        <v>#DIV/0!</v>
      </c>
      <c r="AI102" s="207" t="e">
        <v>#DIV/0!</v>
      </c>
      <c r="AJ102" s="175">
        <v>3504</v>
      </c>
      <c r="AK102" s="175">
        <v>24053</v>
      </c>
      <c r="AL102" s="175">
        <v>1.493203795233871</v>
      </c>
      <c r="AM102" s="175">
        <v>4937</v>
      </c>
      <c r="AN102" s="175">
        <v>0.0933570334512036</v>
      </c>
      <c r="AO102" s="175">
        <v>0.0900759543407406</v>
      </c>
      <c r="AP102" s="175">
        <v>0</v>
      </c>
      <c r="AQ102" s="175">
        <v>504</v>
      </c>
      <c r="AR102" s="175">
        <v>3</v>
      </c>
      <c r="AS102" s="175">
        <v>3</v>
      </c>
      <c r="AT102" s="175">
        <v>485</v>
      </c>
      <c r="AU102" s="175">
        <v>272.03</v>
      </c>
      <c r="AV102" s="175">
        <v>194.4013527919715</v>
      </c>
      <c r="AW102" s="175">
        <v>0.09336623372336307</v>
      </c>
      <c r="AX102" s="175">
        <v>2740</v>
      </c>
      <c r="AY102" s="175">
        <v>15976</v>
      </c>
      <c r="AZ102" s="175">
        <v>0.171507260891337</v>
      </c>
      <c r="BA102" s="175">
        <v>0.1103234248071025</v>
      </c>
      <c r="BB102" s="175">
        <v>0</v>
      </c>
      <c r="BC102" s="207">
        <v>20926</v>
      </c>
      <c r="BD102" s="175">
        <v>18827</v>
      </c>
      <c r="BE102" s="175">
        <v>1.111488819248951</v>
      </c>
      <c r="BF102" s="175">
        <v>0.7025819366578578</v>
      </c>
      <c r="BG102" s="175">
        <v>0</v>
      </c>
      <c r="BH102" s="175">
        <v>3</v>
      </c>
      <c r="BI102" s="207">
        <v>0</v>
      </c>
      <c r="BJ102" s="207">
        <v>-12691.92</v>
      </c>
      <c r="BK102" s="207">
        <v>-216820.3</v>
      </c>
      <c r="BL102" s="207">
        <v>-14807.240000000002</v>
      </c>
      <c r="BM102" s="207">
        <v>0</v>
      </c>
      <c r="BN102" s="207">
        <v>0</v>
      </c>
      <c r="BO102" s="207">
        <v>1472159</v>
      </c>
      <c r="BP102" s="207">
        <v>-4364143.398820534</v>
      </c>
      <c r="BQ102" s="207">
        <v>-2250700.48</v>
      </c>
      <c r="BR102" s="207">
        <v>-573075.1788794994</v>
      </c>
      <c r="BS102" s="207">
        <v>3639803</v>
      </c>
      <c r="BT102" s="207">
        <v>1163250</v>
      </c>
      <c r="BU102" s="207">
        <v>2606864.8577143773</v>
      </c>
      <c r="BV102" s="207">
        <v>98405.03850020409</v>
      </c>
      <c r="BW102" s="207">
        <v>187240.83452947697</v>
      </c>
      <c r="BX102" s="207">
        <v>1470501.8591478586</v>
      </c>
      <c r="BY102" s="207">
        <v>2123241.615270677</v>
      </c>
      <c r="BZ102" s="207">
        <v>3781112.1653880496</v>
      </c>
      <c r="CA102" s="207">
        <v>1085904.423377082</v>
      </c>
      <c r="CB102" s="207">
        <v>2130317.2442567786</v>
      </c>
      <c r="CC102" s="207">
        <v>4759.47</v>
      </c>
      <c r="CD102" s="207">
        <v>781250.118283494</v>
      </c>
      <c r="CE102" s="207">
        <v>4250112.537672944</v>
      </c>
      <c r="CF102" s="207">
        <v>-5871403.071147591</v>
      </c>
      <c r="CG102" s="207">
        <v>2512664.9582689493</v>
      </c>
      <c r="CH102" s="207">
        <v>2763888.929102783</v>
      </c>
      <c r="CI102" s="207">
        <v>0</v>
      </c>
      <c r="CJ102" s="207">
        <v>12719607.092644306</v>
      </c>
      <c r="CK102" s="207">
        <v>-1403854</v>
      </c>
      <c r="CL102" s="207">
        <v>375139.51</v>
      </c>
      <c r="CM102" s="207">
        <v>1159188.5846000002</v>
      </c>
      <c r="CN102" s="207">
        <v>-784049.0746000002</v>
      </c>
      <c r="CO102" s="207">
        <v>100177597.94389068</v>
      </c>
      <c r="CP102" s="207">
        <v>110339629.1386408</v>
      </c>
      <c r="CQ102" s="207">
        <v>53539</v>
      </c>
    </row>
    <row r="103" spans="1:95" ht="11.25">
      <c r="A103" s="207">
        <v>286</v>
      </c>
      <c r="B103" s="207" t="s">
        <v>160</v>
      </c>
      <c r="C103" s="207">
        <v>83177</v>
      </c>
      <c r="D103" s="207">
        <v>291492941.6</v>
      </c>
      <c r="E103" s="207">
        <v>115076552.01122342</v>
      </c>
      <c r="F103" s="207">
        <v>20113283.103895776</v>
      </c>
      <c r="G103" s="207">
        <v>426682776.71511924</v>
      </c>
      <c r="H103" s="207">
        <v>3664.46</v>
      </c>
      <c r="I103" s="207">
        <v>304798789.42</v>
      </c>
      <c r="J103" s="207">
        <v>121883987.29511923</v>
      </c>
      <c r="K103" s="207">
        <v>3030018.1416652845</v>
      </c>
      <c r="L103" s="207">
        <v>-8025641.161603567</v>
      </c>
      <c r="M103" s="207">
        <v>0</v>
      </c>
      <c r="N103" s="207">
        <v>116888364.27518094</v>
      </c>
      <c r="O103" s="207">
        <v>19435565.615394134</v>
      </c>
      <c r="P103" s="207">
        <v>136323929.89057508</v>
      </c>
      <c r="Q103" s="207">
        <v>4040</v>
      </c>
      <c r="R103" s="207">
        <v>768</v>
      </c>
      <c r="S103" s="207">
        <v>4794</v>
      </c>
      <c r="T103" s="207">
        <v>2568</v>
      </c>
      <c r="U103" s="207">
        <v>2569</v>
      </c>
      <c r="V103" s="207">
        <v>45727</v>
      </c>
      <c r="W103" s="207">
        <v>12829</v>
      </c>
      <c r="X103" s="207">
        <v>6930</v>
      </c>
      <c r="Y103" s="207">
        <v>2952</v>
      </c>
      <c r="Z103" s="207">
        <v>295</v>
      </c>
      <c r="AA103" s="207">
        <v>1</v>
      </c>
      <c r="AB103" s="207">
        <v>79394</v>
      </c>
      <c r="AC103" s="207">
        <v>3487</v>
      </c>
      <c r="AD103" s="207">
        <v>22711</v>
      </c>
      <c r="AE103" s="481">
        <v>1.171030595099128</v>
      </c>
      <c r="AF103" s="207">
        <v>115076552.01122342</v>
      </c>
      <c r="AG103" s="207" t="e">
        <v>#DIV/0!</v>
      </c>
      <c r="AH103" s="207" t="e">
        <v>#DIV/0!</v>
      </c>
      <c r="AI103" s="207" t="e">
        <v>#DIV/0!</v>
      </c>
      <c r="AJ103" s="175">
        <v>4620</v>
      </c>
      <c r="AK103" s="175">
        <v>38473</v>
      </c>
      <c r="AL103" s="175">
        <v>1.23086426127367</v>
      </c>
      <c r="AM103" s="175">
        <v>3487</v>
      </c>
      <c r="AN103" s="175">
        <v>0.04192264688555731</v>
      </c>
      <c r="AO103" s="175">
        <v>0.03864156777509431</v>
      </c>
      <c r="AP103" s="175">
        <v>0</v>
      </c>
      <c r="AQ103" s="175">
        <v>295</v>
      </c>
      <c r="AR103" s="175">
        <v>1</v>
      </c>
      <c r="AS103" s="175">
        <v>0</v>
      </c>
      <c r="AT103" s="175">
        <v>0</v>
      </c>
      <c r="AU103" s="175">
        <v>2558.24</v>
      </c>
      <c r="AV103" s="175">
        <v>32.51336856588905</v>
      </c>
      <c r="AW103" s="175">
        <v>0.5582479743411004</v>
      </c>
      <c r="AX103" s="175">
        <v>3304</v>
      </c>
      <c r="AY103" s="175">
        <v>24637</v>
      </c>
      <c r="AZ103" s="175">
        <v>0.134107237082437</v>
      </c>
      <c r="BA103" s="175">
        <v>0.07292340099820249</v>
      </c>
      <c r="BB103" s="175">
        <v>0</v>
      </c>
      <c r="BC103" s="207">
        <v>30940</v>
      </c>
      <c r="BD103" s="175">
        <v>32105</v>
      </c>
      <c r="BE103" s="175">
        <v>0.9637128173181747</v>
      </c>
      <c r="BF103" s="175">
        <v>0.5548059347270816</v>
      </c>
      <c r="BG103" s="175">
        <v>0</v>
      </c>
      <c r="BH103" s="175">
        <v>1</v>
      </c>
      <c r="BI103" s="207">
        <v>0</v>
      </c>
      <c r="BJ103" s="207">
        <v>-19962.48</v>
      </c>
      <c r="BK103" s="207">
        <v>-341025.69999999995</v>
      </c>
      <c r="BL103" s="207">
        <v>-23289.56</v>
      </c>
      <c r="BM103" s="207">
        <v>0</v>
      </c>
      <c r="BN103" s="207">
        <v>0</v>
      </c>
      <c r="BO103" s="207">
        <v>1721663</v>
      </c>
      <c r="BP103" s="207">
        <v>-4455910.345753273</v>
      </c>
      <c r="BQ103" s="207">
        <v>-3540013.12</v>
      </c>
      <c r="BR103" s="207">
        <v>-328800.80143755674</v>
      </c>
      <c r="BS103" s="207">
        <v>6029989</v>
      </c>
      <c r="BT103" s="207">
        <v>1994317</v>
      </c>
      <c r="BU103" s="207">
        <v>4685514.567385978</v>
      </c>
      <c r="BV103" s="207">
        <v>204266.15495217545</v>
      </c>
      <c r="BW103" s="207">
        <v>546399.8316247552</v>
      </c>
      <c r="BX103" s="207">
        <v>2240686.432876591</v>
      </c>
      <c r="BY103" s="207">
        <v>3866084.163918898</v>
      </c>
      <c r="BZ103" s="207">
        <v>6539303.329367374</v>
      </c>
      <c r="CA103" s="207">
        <v>1904548.4230995</v>
      </c>
      <c r="CB103" s="207">
        <v>3386639.5899784626</v>
      </c>
      <c r="CC103" s="207">
        <v>7485.929999999999</v>
      </c>
      <c r="CD103" s="207">
        <v>255481.909616975</v>
      </c>
      <c r="CE103" s="207">
        <v>5485749.174149708</v>
      </c>
      <c r="CF103" s="207">
        <v>-8025641.161603567</v>
      </c>
      <c r="CG103" s="207">
        <v>3747573.9059702903</v>
      </c>
      <c r="CH103" s="207">
        <v>4506174.575662263</v>
      </c>
      <c r="CI103" s="207">
        <v>0</v>
      </c>
      <c r="CJ103" s="207">
        <v>19435565.615394134</v>
      </c>
      <c r="CK103" s="207">
        <v>14397430</v>
      </c>
      <c r="CL103" s="207">
        <v>1272461.2199999997</v>
      </c>
      <c r="CM103" s="207">
        <v>1107144.8798000002</v>
      </c>
      <c r="CN103" s="207">
        <v>165316.3401999995</v>
      </c>
      <c r="CO103" s="207">
        <v>150721359.89057508</v>
      </c>
      <c r="CP103" s="207">
        <v>168693210.94204384</v>
      </c>
      <c r="CQ103" s="207">
        <v>84196</v>
      </c>
    </row>
    <row r="104" spans="1:95" ht="11.25">
      <c r="A104" s="207">
        <v>287</v>
      </c>
      <c r="B104" s="207" t="s">
        <v>161</v>
      </c>
      <c r="C104" s="207">
        <v>6596</v>
      </c>
      <c r="D104" s="207">
        <v>25132603.94</v>
      </c>
      <c r="E104" s="207">
        <v>9165218.026354017</v>
      </c>
      <c r="F104" s="207">
        <v>2695561.30712591</v>
      </c>
      <c r="G104" s="207">
        <v>36993383.27347993</v>
      </c>
      <c r="H104" s="207">
        <v>3664.46</v>
      </c>
      <c r="I104" s="207">
        <v>24170778.16</v>
      </c>
      <c r="J104" s="207">
        <v>12822605.11347993</v>
      </c>
      <c r="K104" s="207">
        <v>885734.5090086332</v>
      </c>
      <c r="L104" s="207">
        <v>-448792.100972794</v>
      </c>
      <c r="M104" s="207">
        <v>0</v>
      </c>
      <c r="N104" s="207">
        <v>13259547.52151577</v>
      </c>
      <c r="O104" s="207">
        <v>4135337.200049448</v>
      </c>
      <c r="P104" s="207">
        <v>17394884.721565217</v>
      </c>
      <c r="Q104" s="207">
        <v>304</v>
      </c>
      <c r="R104" s="207">
        <v>48</v>
      </c>
      <c r="S104" s="207">
        <v>335</v>
      </c>
      <c r="T104" s="207">
        <v>165</v>
      </c>
      <c r="U104" s="207">
        <v>162</v>
      </c>
      <c r="V104" s="207">
        <v>3272</v>
      </c>
      <c r="W104" s="207">
        <v>1283</v>
      </c>
      <c r="X104" s="207">
        <v>667</v>
      </c>
      <c r="Y104" s="207">
        <v>360</v>
      </c>
      <c r="Z104" s="207">
        <v>3591</v>
      </c>
      <c r="AA104" s="207">
        <v>0</v>
      </c>
      <c r="AB104" s="207">
        <v>2727</v>
      </c>
      <c r="AC104" s="207">
        <v>278</v>
      </c>
      <c r="AD104" s="207">
        <v>2310</v>
      </c>
      <c r="AE104" s="481">
        <v>1.1761069246519797</v>
      </c>
      <c r="AF104" s="207">
        <v>9165218.026354017</v>
      </c>
      <c r="AG104" s="207" t="e">
        <v>#DIV/0!</v>
      </c>
      <c r="AH104" s="207" t="e">
        <v>#DIV/0!</v>
      </c>
      <c r="AI104" s="207" t="e">
        <v>#DIV/0!</v>
      </c>
      <c r="AJ104" s="175">
        <v>145</v>
      </c>
      <c r="AK104" s="175">
        <v>2843</v>
      </c>
      <c r="AL104" s="175">
        <v>0.5227756869974081</v>
      </c>
      <c r="AM104" s="175">
        <v>278</v>
      </c>
      <c r="AN104" s="175">
        <v>0.04214675560946028</v>
      </c>
      <c r="AO104" s="175">
        <v>0.03886567649899728</v>
      </c>
      <c r="AP104" s="175">
        <v>3</v>
      </c>
      <c r="AQ104" s="175">
        <v>3591</v>
      </c>
      <c r="AR104" s="175">
        <v>0</v>
      </c>
      <c r="AS104" s="175">
        <v>0</v>
      </c>
      <c r="AT104" s="175">
        <v>0</v>
      </c>
      <c r="AU104" s="175">
        <v>683.04</v>
      </c>
      <c r="AV104" s="175">
        <v>9.656828297025065</v>
      </c>
      <c r="AW104" s="175">
        <v>1.879553159965029</v>
      </c>
      <c r="AX104" s="175">
        <v>279</v>
      </c>
      <c r="AY104" s="175">
        <v>1621</v>
      </c>
      <c r="AZ104" s="175">
        <v>0.17211597779148674</v>
      </c>
      <c r="BA104" s="175">
        <v>0.11093214170725224</v>
      </c>
      <c r="BB104" s="175">
        <v>0.462666</v>
      </c>
      <c r="BC104" s="207">
        <v>2420</v>
      </c>
      <c r="BD104" s="175">
        <v>2603</v>
      </c>
      <c r="BE104" s="175">
        <v>0.9296965040338071</v>
      </c>
      <c r="BF104" s="175">
        <v>0.520789621442714</v>
      </c>
      <c r="BG104" s="175">
        <v>0</v>
      </c>
      <c r="BH104" s="175">
        <v>0</v>
      </c>
      <c r="BI104" s="207">
        <v>0</v>
      </c>
      <c r="BJ104" s="207">
        <v>-1583.04</v>
      </c>
      <c r="BK104" s="207">
        <v>-27043.6</v>
      </c>
      <c r="BL104" s="207">
        <v>-1846.88</v>
      </c>
      <c r="BM104" s="207">
        <v>0</v>
      </c>
      <c r="BN104" s="207">
        <v>0</v>
      </c>
      <c r="BO104" s="207">
        <v>-114657</v>
      </c>
      <c r="BP104" s="207">
        <v>-104550.49278833844</v>
      </c>
      <c r="BQ104" s="207">
        <v>-280725.76</v>
      </c>
      <c r="BR104" s="207">
        <v>168304.4416630827</v>
      </c>
      <c r="BS104" s="207">
        <v>692802</v>
      </c>
      <c r="BT104" s="207">
        <v>228414</v>
      </c>
      <c r="BU104" s="207">
        <v>568548.2001782603</v>
      </c>
      <c r="BV104" s="207">
        <v>30177.065317712404</v>
      </c>
      <c r="BW104" s="207">
        <v>84240.24277662033</v>
      </c>
      <c r="BX104" s="207">
        <v>255219.49443637565</v>
      </c>
      <c r="BY104" s="207">
        <v>392060.7792299144</v>
      </c>
      <c r="BZ104" s="207">
        <v>659173.8744729864</v>
      </c>
      <c r="CA104" s="207">
        <v>219634.1354778587</v>
      </c>
      <c r="CB104" s="207">
        <v>347455.59014017653</v>
      </c>
      <c r="CC104" s="207">
        <v>593.64</v>
      </c>
      <c r="CD104" s="207">
        <v>-11820.749207567504</v>
      </c>
      <c r="CE104" s="207">
        <v>373864.9118155445</v>
      </c>
      <c r="CF104" s="207">
        <v>-448792.100972794</v>
      </c>
      <c r="CG104" s="207">
        <v>324914.5393600293</v>
      </c>
      <c r="CH104" s="207">
        <v>495821.5210485344</v>
      </c>
      <c r="CI104" s="207">
        <v>0</v>
      </c>
      <c r="CJ104" s="207">
        <v>4135337.200049448</v>
      </c>
      <c r="CK104" s="207">
        <v>781360</v>
      </c>
      <c r="CL104" s="207">
        <v>893299.68</v>
      </c>
      <c r="CM104" s="207">
        <v>94074.59999999999</v>
      </c>
      <c r="CN104" s="207">
        <v>799225.0800000001</v>
      </c>
      <c r="CO104" s="207">
        <v>18176244.721565217</v>
      </c>
      <c r="CP104" s="207">
        <v>20455757.320244193</v>
      </c>
      <c r="CQ104" s="207">
        <v>6638</v>
      </c>
    </row>
    <row r="105" spans="1:95" ht="11.25">
      <c r="A105" s="207">
        <v>288</v>
      </c>
      <c r="B105" s="207" t="s">
        <v>162</v>
      </c>
      <c r="C105" s="207">
        <v>6509</v>
      </c>
      <c r="D105" s="207">
        <v>24881827.78</v>
      </c>
      <c r="E105" s="207">
        <v>6372290.435913018</v>
      </c>
      <c r="F105" s="207">
        <v>2819406.1158100404</v>
      </c>
      <c r="G105" s="207">
        <v>34073524.331723064</v>
      </c>
      <c r="H105" s="207">
        <v>3664.46</v>
      </c>
      <c r="I105" s="207">
        <v>23851970.14</v>
      </c>
      <c r="J105" s="207">
        <v>10221554.191723064</v>
      </c>
      <c r="K105" s="207">
        <v>194538.5301506152</v>
      </c>
      <c r="L105" s="207">
        <v>-593981.1476790337</v>
      </c>
      <c r="M105" s="207">
        <v>0</v>
      </c>
      <c r="N105" s="207">
        <v>9822111.574194644</v>
      </c>
      <c r="O105" s="207">
        <v>3655342.672050112</v>
      </c>
      <c r="P105" s="207">
        <v>13477454.246244755</v>
      </c>
      <c r="Q105" s="207">
        <v>394</v>
      </c>
      <c r="R105" s="207">
        <v>70</v>
      </c>
      <c r="S105" s="207">
        <v>492</v>
      </c>
      <c r="T105" s="207">
        <v>249</v>
      </c>
      <c r="U105" s="207">
        <v>259</v>
      </c>
      <c r="V105" s="207">
        <v>3422</v>
      </c>
      <c r="W105" s="207">
        <v>882</v>
      </c>
      <c r="X105" s="207">
        <v>499</v>
      </c>
      <c r="Y105" s="207">
        <v>242</v>
      </c>
      <c r="Z105" s="207">
        <v>5060</v>
      </c>
      <c r="AA105" s="207">
        <v>0</v>
      </c>
      <c r="AB105" s="207">
        <v>1236</v>
      </c>
      <c r="AC105" s="207">
        <v>213</v>
      </c>
      <c r="AD105" s="207">
        <v>1623</v>
      </c>
      <c r="AE105" s="481">
        <v>0.828640095364822</v>
      </c>
      <c r="AF105" s="207">
        <v>6372290.435913018</v>
      </c>
      <c r="AG105" s="207" t="e">
        <v>#DIV/0!</v>
      </c>
      <c r="AH105" s="207" t="e">
        <v>#DIV/0!</v>
      </c>
      <c r="AI105" s="207" t="e">
        <v>#DIV/0!</v>
      </c>
      <c r="AJ105" s="175">
        <v>131</v>
      </c>
      <c r="AK105" s="175">
        <v>3062</v>
      </c>
      <c r="AL105" s="175">
        <v>0.4385209519032088</v>
      </c>
      <c r="AM105" s="175">
        <v>213</v>
      </c>
      <c r="AN105" s="175">
        <v>0.03272392072514979</v>
      </c>
      <c r="AO105" s="175">
        <v>0.029442841614686795</v>
      </c>
      <c r="AP105" s="175">
        <v>3</v>
      </c>
      <c r="AQ105" s="175">
        <v>5060</v>
      </c>
      <c r="AR105" s="175">
        <v>0</v>
      </c>
      <c r="AS105" s="175">
        <v>0</v>
      </c>
      <c r="AT105" s="175">
        <v>0</v>
      </c>
      <c r="AU105" s="175">
        <v>712.86</v>
      </c>
      <c r="AV105" s="175">
        <v>9.130825126953399</v>
      </c>
      <c r="AW105" s="175">
        <v>1.9878293460395398</v>
      </c>
      <c r="AX105" s="175">
        <v>256</v>
      </c>
      <c r="AY105" s="175">
        <v>1883</v>
      </c>
      <c r="AZ105" s="175">
        <v>0.13595326606479022</v>
      </c>
      <c r="BA105" s="175">
        <v>0.07476942998055572</v>
      </c>
      <c r="BB105" s="175">
        <v>0</v>
      </c>
      <c r="BC105" s="207">
        <v>2486</v>
      </c>
      <c r="BD105" s="175">
        <v>2877</v>
      </c>
      <c r="BE105" s="175">
        <v>0.8640945429266598</v>
      </c>
      <c r="BF105" s="175">
        <v>0.4551876603355667</v>
      </c>
      <c r="BG105" s="175">
        <v>0</v>
      </c>
      <c r="BH105" s="175">
        <v>0</v>
      </c>
      <c r="BI105" s="207">
        <v>0</v>
      </c>
      <c r="BJ105" s="207">
        <v>-1562.1599999999999</v>
      </c>
      <c r="BK105" s="207">
        <v>-26686.899999999998</v>
      </c>
      <c r="BL105" s="207">
        <v>-1822.5200000000002</v>
      </c>
      <c r="BM105" s="207">
        <v>0</v>
      </c>
      <c r="BN105" s="207">
        <v>0</v>
      </c>
      <c r="BO105" s="207">
        <v>-32538</v>
      </c>
      <c r="BP105" s="207">
        <v>-42683.453685173445</v>
      </c>
      <c r="BQ105" s="207">
        <v>-277023.04000000004</v>
      </c>
      <c r="BR105" s="207">
        <v>-40340.352658394724</v>
      </c>
      <c r="BS105" s="207">
        <v>575682</v>
      </c>
      <c r="BT105" s="207">
        <v>200208</v>
      </c>
      <c r="BU105" s="207">
        <v>498934.73935790296</v>
      </c>
      <c r="BV105" s="207">
        <v>26028.434395778844</v>
      </c>
      <c r="BW105" s="207">
        <v>65840.18374348737</v>
      </c>
      <c r="BX105" s="207">
        <v>210501.86059898874</v>
      </c>
      <c r="BY105" s="207">
        <v>389555.4606137078</v>
      </c>
      <c r="BZ105" s="207">
        <v>647069.5953866849</v>
      </c>
      <c r="CA105" s="207">
        <v>190445.68935750786</v>
      </c>
      <c r="CB105" s="207">
        <v>321821.6558431388</v>
      </c>
      <c r="CC105" s="207">
        <v>585.81</v>
      </c>
      <c r="CD105" s="207">
        <v>-76083.51905566148</v>
      </c>
      <c r="CE105" s="207">
        <v>157337.13600613974</v>
      </c>
      <c r="CF105" s="207">
        <v>-593981.1476790337</v>
      </c>
      <c r="CG105" s="207">
        <v>299269.28772019595</v>
      </c>
      <c r="CH105" s="207">
        <v>446378.79232953984</v>
      </c>
      <c r="CI105" s="207">
        <v>0</v>
      </c>
      <c r="CJ105" s="207">
        <v>3655342.672050112</v>
      </c>
      <c r="CK105" s="207">
        <v>116379</v>
      </c>
      <c r="CL105" s="207">
        <v>73623.6</v>
      </c>
      <c r="CM105" s="207">
        <v>498050.02</v>
      </c>
      <c r="CN105" s="207">
        <v>-424426.42000000004</v>
      </c>
      <c r="CO105" s="207">
        <v>13593833.246244755</v>
      </c>
      <c r="CP105" s="207">
        <v>15688294.594126083</v>
      </c>
      <c r="CQ105" s="207">
        <v>6531</v>
      </c>
    </row>
    <row r="106" spans="1:95" ht="11.25">
      <c r="A106" s="207">
        <v>290</v>
      </c>
      <c r="B106" s="207" t="s">
        <v>163</v>
      </c>
      <c r="C106" s="207">
        <v>8329</v>
      </c>
      <c r="D106" s="207">
        <v>29717249.88</v>
      </c>
      <c r="E106" s="207">
        <v>14922118.391896622</v>
      </c>
      <c r="F106" s="207">
        <v>5023712.082140789</v>
      </c>
      <c r="G106" s="207">
        <v>49663080.35403741</v>
      </c>
      <c r="H106" s="207">
        <v>3664.46</v>
      </c>
      <c r="I106" s="207">
        <v>30521287.34</v>
      </c>
      <c r="J106" s="207">
        <v>19141793.01403741</v>
      </c>
      <c r="K106" s="207">
        <v>3832694.7016152595</v>
      </c>
      <c r="L106" s="207">
        <v>19308.06126401713</v>
      </c>
      <c r="M106" s="207">
        <v>0</v>
      </c>
      <c r="N106" s="207">
        <v>22993795.776916686</v>
      </c>
      <c r="O106" s="207">
        <v>6252289.6944130035</v>
      </c>
      <c r="P106" s="207">
        <v>29246085.47132969</v>
      </c>
      <c r="Q106" s="207">
        <v>286</v>
      </c>
      <c r="R106" s="207">
        <v>67</v>
      </c>
      <c r="S106" s="207">
        <v>450</v>
      </c>
      <c r="T106" s="207">
        <v>229</v>
      </c>
      <c r="U106" s="207">
        <v>204</v>
      </c>
      <c r="V106" s="207">
        <v>4191</v>
      </c>
      <c r="W106" s="207">
        <v>1621</v>
      </c>
      <c r="X106" s="207">
        <v>948</v>
      </c>
      <c r="Y106" s="207">
        <v>333</v>
      </c>
      <c r="Z106" s="207">
        <v>6</v>
      </c>
      <c r="AA106" s="207">
        <v>0</v>
      </c>
      <c r="AB106" s="207">
        <v>8149</v>
      </c>
      <c r="AC106" s="207">
        <v>174</v>
      </c>
      <c r="AD106" s="207">
        <v>2902</v>
      </c>
      <c r="AE106" s="481">
        <v>1.5164296683398009</v>
      </c>
      <c r="AF106" s="207">
        <v>14922118.391896622</v>
      </c>
      <c r="AG106" s="207" t="e">
        <v>#DIV/0!</v>
      </c>
      <c r="AH106" s="207" t="e">
        <v>#DIV/0!</v>
      </c>
      <c r="AI106" s="207" t="e">
        <v>#DIV/0!</v>
      </c>
      <c r="AJ106" s="175">
        <v>466</v>
      </c>
      <c r="AK106" s="175">
        <v>3560</v>
      </c>
      <c r="AL106" s="175">
        <v>1.3417146369823172</v>
      </c>
      <c r="AM106" s="175">
        <v>174</v>
      </c>
      <c r="AN106" s="175">
        <v>0.020890863248889422</v>
      </c>
      <c r="AO106" s="175">
        <v>0.017609784138426426</v>
      </c>
      <c r="AP106" s="175">
        <v>0</v>
      </c>
      <c r="AQ106" s="175">
        <v>6</v>
      </c>
      <c r="AR106" s="175">
        <v>0</v>
      </c>
      <c r="AS106" s="175">
        <v>0</v>
      </c>
      <c r="AT106" s="175">
        <v>0</v>
      </c>
      <c r="AU106" s="175">
        <v>4806.52</v>
      </c>
      <c r="AV106" s="175">
        <v>1.7328545392508508</v>
      </c>
      <c r="AW106" s="175">
        <v>10.474348382848119</v>
      </c>
      <c r="AX106" s="175">
        <v>269</v>
      </c>
      <c r="AY106" s="175">
        <v>2146</v>
      </c>
      <c r="AZ106" s="175">
        <v>0.12534948741845295</v>
      </c>
      <c r="BA106" s="175">
        <v>0.06416565133421845</v>
      </c>
      <c r="BB106" s="175">
        <v>1.304849</v>
      </c>
      <c r="BC106" s="207">
        <v>2771</v>
      </c>
      <c r="BD106" s="175">
        <v>2861</v>
      </c>
      <c r="BE106" s="175">
        <v>0.9685424676686474</v>
      </c>
      <c r="BF106" s="175">
        <v>0.5596355850775543</v>
      </c>
      <c r="BG106" s="175">
        <v>0</v>
      </c>
      <c r="BH106" s="175">
        <v>0</v>
      </c>
      <c r="BI106" s="207">
        <v>0</v>
      </c>
      <c r="BJ106" s="207">
        <v>-1998.96</v>
      </c>
      <c r="BK106" s="207">
        <v>-34148.899999999994</v>
      </c>
      <c r="BL106" s="207">
        <v>-2332.1200000000003</v>
      </c>
      <c r="BM106" s="207">
        <v>0</v>
      </c>
      <c r="BN106" s="207">
        <v>0</v>
      </c>
      <c r="BO106" s="207">
        <v>576522</v>
      </c>
      <c r="BP106" s="207">
        <v>-178975.8569297406</v>
      </c>
      <c r="BQ106" s="207">
        <v>-354482.24</v>
      </c>
      <c r="BR106" s="207">
        <v>45840.17907136306</v>
      </c>
      <c r="BS106" s="207">
        <v>879743</v>
      </c>
      <c r="BT106" s="207">
        <v>272146</v>
      </c>
      <c r="BU106" s="207">
        <v>703979.2439260354</v>
      </c>
      <c r="BV106" s="207">
        <v>36783.39677402133</v>
      </c>
      <c r="BW106" s="207">
        <v>141222.52031815654</v>
      </c>
      <c r="BX106" s="207">
        <v>373179.4735321675</v>
      </c>
      <c r="BY106" s="207">
        <v>459507.82671199803</v>
      </c>
      <c r="BZ106" s="207">
        <v>735798.274178321</v>
      </c>
      <c r="CA106" s="207">
        <v>213856.4882541266</v>
      </c>
      <c r="CB106" s="207">
        <v>397634.08734254126</v>
      </c>
      <c r="CC106" s="207">
        <v>749.61</v>
      </c>
      <c r="CD106" s="207">
        <v>37511.5938091742</v>
      </c>
      <c r="CE106" s="207">
        <v>1105062.1481937575</v>
      </c>
      <c r="CF106" s="207">
        <v>19308.06126401713</v>
      </c>
      <c r="CG106" s="207">
        <v>436193.05531322013</v>
      </c>
      <c r="CH106" s="207">
        <v>540132.128987306</v>
      </c>
      <c r="CI106" s="207">
        <v>0</v>
      </c>
      <c r="CJ106" s="207">
        <v>6252289.6944130035</v>
      </c>
      <c r="CK106" s="207">
        <v>-462661</v>
      </c>
      <c r="CL106" s="207">
        <v>42265.4</v>
      </c>
      <c r="CM106" s="207">
        <v>91347.8</v>
      </c>
      <c r="CN106" s="207">
        <v>-49082.4</v>
      </c>
      <c r="CO106" s="207">
        <v>28783424.47132969</v>
      </c>
      <c r="CP106" s="207">
        <v>31742243.361706343</v>
      </c>
      <c r="CQ106" s="207">
        <v>8499</v>
      </c>
    </row>
    <row r="107" spans="1:95" ht="11.25">
      <c r="A107" s="207">
        <v>291</v>
      </c>
      <c r="B107" s="207" t="s">
        <v>164</v>
      </c>
      <c r="C107" s="207">
        <v>2238</v>
      </c>
      <c r="D107" s="207">
        <v>8837719.99</v>
      </c>
      <c r="E107" s="207">
        <v>3974582.371881926</v>
      </c>
      <c r="F107" s="207">
        <v>869271.0072852734</v>
      </c>
      <c r="G107" s="207">
        <v>13681573.3691672</v>
      </c>
      <c r="H107" s="207">
        <v>3664.46</v>
      </c>
      <c r="I107" s="207">
        <v>8201061.48</v>
      </c>
      <c r="J107" s="207">
        <v>5480511.889167199</v>
      </c>
      <c r="K107" s="207">
        <v>438705.87304611935</v>
      </c>
      <c r="L107" s="207">
        <v>-144773.27874749235</v>
      </c>
      <c r="M107" s="207">
        <v>0</v>
      </c>
      <c r="N107" s="207">
        <v>5774444.483465826</v>
      </c>
      <c r="O107" s="207">
        <v>1660681.325296318</v>
      </c>
      <c r="P107" s="207">
        <v>7435125.808762144</v>
      </c>
      <c r="Q107" s="207">
        <v>63</v>
      </c>
      <c r="R107" s="207">
        <v>11</v>
      </c>
      <c r="S107" s="207">
        <v>87</v>
      </c>
      <c r="T107" s="207">
        <v>37</v>
      </c>
      <c r="U107" s="207">
        <v>76</v>
      </c>
      <c r="V107" s="207">
        <v>1003</v>
      </c>
      <c r="W107" s="207">
        <v>498</v>
      </c>
      <c r="X107" s="207">
        <v>312</v>
      </c>
      <c r="Y107" s="207">
        <v>151</v>
      </c>
      <c r="Z107" s="207">
        <v>5</v>
      </c>
      <c r="AA107" s="207">
        <v>0</v>
      </c>
      <c r="AB107" s="207">
        <v>2211</v>
      </c>
      <c r="AC107" s="207">
        <v>22</v>
      </c>
      <c r="AD107" s="207">
        <v>961</v>
      </c>
      <c r="AE107" s="481">
        <v>1.5031975982474717</v>
      </c>
      <c r="AF107" s="207">
        <v>3974582.371881926</v>
      </c>
      <c r="AG107" s="207" t="e">
        <v>#DIV/0!</v>
      </c>
      <c r="AH107" s="207" t="e">
        <v>#DIV/0!</v>
      </c>
      <c r="AI107" s="207" t="e">
        <v>#DIV/0!</v>
      </c>
      <c r="AJ107" s="175">
        <v>94</v>
      </c>
      <c r="AK107" s="175">
        <v>842</v>
      </c>
      <c r="AL107" s="175">
        <v>1.1443002714764625</v>
      </c>
      <c r="AM107" s="175">
        <v>22</v>
      </c>
      <c r="AN107" s="175">
        <v>0.009830205540661306</v>
      </c>
      <c r="AO107" s="175">
        <v>0.006549126430198309</v>
      </c>
      <c r="AP107" s="175">
        <v>0</v>
      </c>
      <c r="AQ107" s="175">
        <v>5</v>
      </c>
      <c r="AR107" s="175">
        <v>0</v>
      </c>
      <c r="AS107" s="175">
        <v>3</v>
      </c>
      <c r="AT107" s="175">
        <v>175</v>
      </c>
      <c r="AU107" s="175">
        <v>660.95</v>
      </c>
      <c r="AV107" s="175">
        <v>3.3860352522883725</v>
      </c>
      <c r="AW107" s="175">
        <v>5.3604055446990895</v>
      </c>
      <c r="AX107" s="175">
        <v>70</v>
      </c>
      <c r="AY107" s="175">
        <v>486</v>
      </c>
      <c r="AZ107" s="175">
        <v>0.1440329218106996</v>
      </c>
      <c r="BA107" s="175">
        <v>0.0828490857264651</v>
      </c>
      <c r="BB107" s="175">
        <v>0.743866</v>
      </c>
      <c r="BC107" s="207">
        <v>652</v>
      </c>
      <c r="BD107" s="175">
        <v>691</v>
      </c>
      <c r="BE107" s="175">
        <v>0.9435600578871202</v>
      </c>
      <c r="BF107" s="175">
        <v>0.5346531752960271</v>
      </c>
      <c r="BG107" s="175">
        <v>0</v>
      </c>
      <c r="BH107" s="175">
        <v>0</v>
      </c>
      <c r="BI107" s="207">
        <v>0</v>
      </c>
      <c r="BJ107" s="207">
        <v>-537.12</v>
      </c>
      <c r="BK107" s="207">
        <v>-9175.8</v>
      </c>
      <c r="BL107" s="207">
        <v>-626.6400000000001</v>
      </c>
      <c r="BM107" s="207">
        <v>0</v>
      </c>
      <c r="BN107" s="207">
        <v>0</v>
      </c>
      <c r="BO107" s="207">
        <v>41818</v>
      </c>
      <c r="BP107" s="207">
        <v>-62215.456716327644</v>
      </c>
      <c r="BQ107" s="207">
        <v>-95249.28</v>
      </c>
      <c r="BR107" s="207">
        <v>7533.050449972972</v>
      </c>
      <c r="BS107" s="207">
        <v>263880</v>
      </c>
      <c r="BT107" s="207">
        <v>73319</v>
      </c>
      <c r="BU107" s="207">
        <v>170391.72029912568</v>
      </c>
      <c r="BV107" s="207">
        <v>10287.71598803778</v>
      </c>
      <c r="BW107" s="207">
        <v>30345.713254875387</v>
      </c>
      <c r="BX107" s="207">
        <v>102649.1409805688</v>
      </c>
      <c r="BY107" s="207">
        <v>114930.21923193669</v>
      </c>
      <c r="BZ107" s="207">
        <v>197835.3142036988</v>
      </c>
      <c r="CA107" s="207">
        <v>57829.09509328805</v>
      </c>
      <c r="CB107" s="207">
        <v>105456.41620269901</v>
      </c>
      <c r="CC107" s="207">
        <v>201.42</v>
      </c>
      <c r="CD107" s="207">
        <v>-10840.723120772134</v>
      </c>
      <c r="CE107" s="207">
        <v>161093.23796883522</v>
      </c>
      <c r="CF107" s="207">
        <v>-144773.27874749235</v>
      </c>
      <c r="CG107" s="207">
        <v>120165.87063963439</v>
      </c>
      <c r="CH107" s="207">
        <v>97284.51749469095</v>
      </c>
      <c r="CI107" s="207">
        <v>0</v>
      </c>
      <c r="CJ107" s="207">
        <v>1660681.325296318</v>
      </c>
      <c r="CK107" s="207">
        <v>-116024</v>
      </c>
      <c r="CL107" s="207">
        <v>21814.4</v>
      </c>
      <c r="CM107" s="207">
        <v>17724.2</v>
      </c>
      <c r="CN107" s="207">
        <v>4090.2000000000007</v>
      </c>
      <c r="CO107" s="207">
        <v>7319101.808762144</v>
      </c>
      <c r="CP107" s="207">
        <v>8133127.347937342</v>
      </c>
      <c r="CQ107" s="207">
        <v>2252</v>
      </c>
    </row>
    <row r="108" spans="1:95" ht="11.25">
      <c r="A108" s="207">
        <v>297</v>
      </c>
      <c r="B108" s="207" t="s">
        <v>165</v>
      </c>
      <c r="C108" s="207">
        <v>118664</v>
      </c>
      <c r="D108" s="207">
        <v>388889265.3600001</v>
      </c>
      <c r="E108" s="207">
        <v>173073300.05964792</v>
      </c>
      <c r="F108" s="207">
        <v>24772860.105747517</v>
      </c>
      <c r="G108" s="207">
        <v>586735425.5253954</v>
      </c>
      <c r="H108" s="207">
        <v>3664.46</v>
      </c>
      <c r="I108" s="207">
        <v>434839481.44</v>
      </c>
      <c r="J108" s="207">
        <v>151895944.0853954</v>
      </c>
      <c r="K108" s="207">
        <v>4974564.249190244</v>
      </c>
      <c r="L108" s="207">
        <v>-16972853.163541377</v>
      </c>
      <c r="M108" s="207">
        <v>0</v>
      </c>
      <c r="N108" s="207">
        <v>139897655.17104426</v>
      </c>
      <c r="O108" s="207">
        <v>36163294.793842606</v>
      </c>
      <c r="P108" s="207">
        <v>176060949.96488687</v>
      </c>
      <c r="Q108" s="207">
        <v>6847</v>
      </c>
      <c r="R108" s="207">
        <v>1262</v>
      </c>
      <c r="S108" s="207">
        <v>7099</v>
      </c>
      <c r="T108" s="207">
        <v>3578</v>
      </c>
      <c r="U108" s="207">
        <v>3746</v>
      </c>
      <c r="V108" s="207">
        <v>71403</v>
      </c>
      <c r="W108" s="207">
        <v>14358</v>
      </c>
      <c r="X108" s="207">
        <v>7330</v>
      </c>
      <c r="Y108" s="207">
        <v>3041</v>
      </c>
      <c r="Z108" s="207">
        <v>123</v>
      </c>
      <c r="AA108" s="207">
        <v>2</v>
      </c>
      <c r="AB108" s="207">
        <v>113854</v>
      </c>
      <c r="AC108" s="207">
        <v>4685</v>
      </c>
      <c r="AD108" s="207">
        <v>24729</v>
      </c>
      <c r="AE108" s="481">
        <v>1.2345132179132245</v>
      </c>
      <c r="AF108" s="207">
        <v>173073300.05964792</v>
      </c>
      <c r="AG108" s="207" t="e">
        <v>#DIV/0!</v>
      </c>
      <c r="AH108" s="207" t="e">
        <v>#DIV/0!</v>
      </c>
      <c r="AI108" s="207" t="e">
        <v>#DIV/0!</v>
      </c>
      <c r="AJ108" s="175">
        <v>5887</v>
      </c>
      <c r="AK108" s="175">
        <v>56280</v>
      </c>
      <c r="AL108" s="175">
        <v>1.0721713200466494</v>
      </c>
      <c r="AM108" s="175">
        <v>4685</v>
      </c>
      <c r="AN108" s="175">
        <v>0.03948122429717522</v>
      </c>
      <c r="AO108" s="175">
        <v>0.03620014518671222</v>
      </c>
      <c r="AP108" s="175">
        <v>0</v>
      </c>
      <c r="AQ108" s="175">
        <v>123</v>
      </c>
      <c r="AR108" s="175">
        <v>2</v>
      </c>
      <c r="AS108" s="175">
        <v>3</v>
      </c>
      <c r="AT108" s="175">
        <v>831</v>
      </c>
      <c r="AU108" s="175">
        <v>3241.03</v>
      </c>
      <c r="AV108" s="175">
        <v>36.61305202358509</v>
      </c>
      <c r="AW108" s="175">
        <v>0.49573911864056347</v>
      </c>
      <c r="AX108" s="175">
        <v>3611</v>
      </c>
      <c r="AY108" s="175">
        <v>35461</v>
      </c>
      <c r="AZ108" s="175">
        <v>0.10183017963396407</v>
      </c>
      <c r="BA108" s="175">
        <v>0.040646343549729576</v>
      </c>
      <c r="BB108" s="175">
        <v>0</v>
      </c>
      <c r="BC108" s="207">
        <v>50877</v>
      </c>
      <c r="BD108" s="175">
        <v>48576</v>
      </c>
      <c r="BE108" s="175">
        <v>1.0473690711462451</v>
      </c>
      <c r="BF108" s="175">
        <v>0.638462188555152</v>
      </c>
      <c r="BG108" s="175">
        <v>0</v>
      </c>
      <c r="BH108" s="175">
        <v>2</v>
      </c>
      <c r="BI108" s="207">
        <v>0</v>
      </c>
      <c r="BJ108" s="207">
        <v>-28479.36</v>
      </c>
      <c r="BK108" s="207">
        <v>-486522.39999999997</v>
      </c>
      <c r="BL108" s="207">
        <v>-33225.920000000006</v>
      </c>
      <c r="BM108" s="207">
        <v>0</v>
      </c>
      <c r="BN108" s="207">
        <v>0</v>
      </c>
      <c r="BO108" s="207">
        <v>344001</v>
      </c>
      <c r="BP108" s="207">
        <v>-10976593.923668547</v>
      </c>
      <c r="BQ108" s="207">
        <v>-5050339.84</v>
      </c>
      <c r="BR108" s="207">
        <v>568576.9896894507</v>
      </c>
      <c r="BS108" s="207">
        <v>8192552</v>
      </c>
      <c r="BT108" s="207">
        <v>2780481</v>
      </c>
      <c r="BU108" s="207">
        <v>6685946.670357633</v>
      </c>
      <c r="BV108" s="207">
        <v>274340.2053332768</v>
      </c>
      <c r="BW108" s="207">
        <v>542984.4859595057</v>
      </c>
      <c r="BX108" s="207">
        <v>3006730.6654707086</v>
      </c>
      <c r="BY108" s="207">
        <v>6029936.960660052</v>
      </c>
      <c r="BZ108" s="207">
        <v>8709832.970961055</v>
      </c>
      <c r="CA108" s="207">
        <v>3071318.894731569</v>
      </c>
      <c r="CB108" s="207">
        <v>5163829.576663302</v>
      </c>
      <c r="CC108" s="207">
        <v>10679.76</v>
      </c>
      <c r="CD108" s="207">
        <v>728631.8536023047</v>
      </c>
      <c r="CE108" s="207">
        <v>6922690.440127169</v>
      </c>
      <c r="CF108" s="207">
        <v>-16972853.163541377</v>
      </c>
      <c r="CG108" s="207">
        <v>5153323.476835413</v>
      </c>
      <c r="CH108" s="207">
        <v>7213618.832297075</v>
      </c>
      <c r="CI108" s="207">
        <v>0</v>
      </c>
      <c r="CJ108" s="207">
        <v>36163294.793842606</v>
      </c>
      <c r="CK108" s="207">
        <v>-3471663</v>
      </c>
      <c r="CL108" s="207">
        <v>1227537.1899999997</v>
      </c>
      <c r="CM108" s="207">
        <v>3673369.081399999</v>
      </c>
      <c r="CN108" s="207">
        <v>-2445831.891399999</v>
      </c>
      <c r="CO108" s="207">
        <v>172589286.96488687</v>
      </c>
      <c r="CP108" s="207">
        <v>197892143.85011753</v>
      </c>
      <c r="CQ108" s="207">
        <v>118209</v>
      </c>
    </row>
    <row r="109" spans="1:95" ht="11.25">
      <c r="A109" s="207">
        <v>300</v>
      </c>
      <c r="B109" s="207" t="s">
        <v>166</v>
      </c>
      <c r="C109" s="207">
        <v>3572</v>
      </c>
      <c r="D109" s="207">
        <v>14208390.7</v>
      </c>
      <c r="E109" s="207">
        <v>6243697.15774484</v>
      </c>
      <c r="F109" s="207">
        <v>685805.1196863989</v>
      </c>
      <c r="G109" s="207">
        <v>21137892.977431238</v>
      </c>
      <c r="H109" s="207">
        <v>3664.46</v>
      </c>
      <c r="I109" s="207">
        <v>13089451.120000001</v>
      </c>
      <c r="J109" s="207">
        <v>8048441.857431237</v>
      </c>
      <c r="K109" s="207">
        <v>128194.65796675684</v>
      </c>
      <c r="L109" s="207">
        <v>-249092.2889156761</v>
      </c>
      <c r="M109" s="207">
        <v>0</v>
      </c>
      <c r="N109" s="207">
        <v>7927544.226482318</v>
      </c>
      <c r="O109" s="207">
        <v>3240593.4127073903</v>
      </c>
      <c r="P109" s="207">
        <v>11168137.639189709</v>
      </c>
      <c r="Q109" s="207">
        <v>151</v>
      </c>
      <c r="R109" s="207">
        <v>38</v>
      </c>
      <c r="S109" s="207">
        <v>246</v>
      </c>
      <c r="T109" s="207">
        <v>120</v>
      </c>
      <c r="U109" s="207">
        <v>135</v>
      </c>
      <c r="V109" s="207">
        <v>1761</v>
      </c>
      <c r="W109" s="207">
        <v>576</v>
      </c>
      <c r="X109" s="207">
        <v>362</v>
      </c>
      <c r="Y109" s="207">
        <v>183</v>
      </c>
      <c r="Z109" s="207">
        <v>4</v>
      </c>
      <c r="AA109" s="207">
        <v>0</v>
      </c>
      <c r="AB109" s="207">
        <v>3514</v>
      </c>
      <c r="AC109" s="207">
        <v>54</v>
      </c>
      <c r="AD109" s="207">
        <v>1121</v>
      </c>
      <c r="AE109" s="481">
        <v>1.479500216922891</v>
      </c>
      <c r="AF109" s="207">
        <v>6243697.15774484</v>
      </c>
      <c r="AG109" s="207" t="e">
        <v>#DIV/0!</v>
      </c>
      <c r="AH109" s="207" t="e">
        <v>#DIV/0!</v>
      </c>
      <c r="AI109" s="207" t="e">
        <v>#DIV/0!</v>
      </c>
      <c r="AJ109" s="175">
        <v>74</v>
      </c>
      <c r="AK109" s="175">
        <v>1542</v>
      </c>
      <c r="AL109" s="175">
        <v>0.4918940676322229</v>
      </c>
      <c r="AM109" s="175">
        <v>54</v>
      </c>
      <c r="AN109" s="175">
        <v>0.015117581187010079</v>
      </c>
      <c r="AO109" s="175">
        <v>0.011836502076547083</v>
      </c>
      <c r="AP109" s="175">
        <v>0</v>
      </c>
      <c r="AQ109" s="175">
        <v>4</v>
      </c>
      <c r="AR109" s="175">
        <v>0</v>
      </c>
      <c r="AS109" s="175">
        <v>0</v>
      </c>
      <c r="AT109" s="175">
        <v>0</v>
      </c>
      <c r="AU109" s="175">
        <v>462.18</v>
      </c>
      <c r="AV109" s="175">
        <v>7.728590592409883</v>
      </c>
      <c r="AW109" s="175">
        <v>2.3484905719729143</v>
      </c>
      <c r="AX109" s="175">
        <v>136</v>
      </c>
      <c r="AY109" s="175">
        <v>1019</v>
      </c>
      <c r="AZ109" s="175">
        <v>0.13346418056918546</v>
      </c>
      <c r="BA109" s="175">
        <v>0.07228034448495096</v>
      </c>
      <c r="BB109" s="175">
        <v>0</v>
      </c>
      <c r="BC109" s="207">
        <v>1331</v>
      </c>
      <c r="BD109" s="175">
        <v>1393</v>
      </c>
      <c r="BE109" s="175">
        <v>0.955491744436468</v>
      </c>
      <c r="BF109" s="175">
        <v>0.5465848618453749</v>
      </c>
      <c r="BG109" s="175">
        <v>0</v>
      </c>
      <c r="BH109" s="175">
        <v>0</v>
      </c>
      <c r="BI109" s="207">
        <v>0</v>
      </c>
      <c r="BJ109" s="207">
        <v>-857.28</v>
      </c>
      <c r="BK109" s="207">
        <v>-14645.199999999999</v>
      </c>
      <c r="BL109" s="207">
        <v>-1000.1600000000001</v>
      </c>
      <c r="BM109" s="207">
        <v>0</v>
      </c>
      <c r="BN109" s="207">
        <v>0</v>
      </c>
      <c r="BO109" s="207">
        <v>-28763</v>
      </c>
      <c r="BP109" s="207">
        <v>-53942.24896141479</v>
      </c>
      <c r="BQ109" s="207">
        <v>-152024.32</v>
      </c>
      <c r="BR109" s="207">
        <v>43572.96139998175</v>
      </c>
      <c r="BS109" s="207">
        <v>402441</v>
      </c>
      <c r="BT109" s="207">
        <v>120659</v>
      </c>
      <c r="BU109" s="207">
        <v>305156.2929916715</v>
      </c>
      <c r="BV109" s="207">
        <v>18450.74644536792</v>
      </c>
      <c r="BW109" s="207">
        <v>1795.9278249640176</v>
      </c>
      <c r="BX109" s="207">
        <v>137432.4563507495</v>
      </c>
      <c r="BY109" s="207">
        <v>220951.71960317195</v>
      </c>
      <c r="BZ109" s="207">
        <v>351056.0725939158</v>
      </c>
      <c r="CA109" s="207">
        <v>102632.65252673901</v>
      </c>
      <c r="CB109" s="207">
        <v>178955.60971562</v>
      </c>
      <c r="CC109" s="207">
        <v>321.47999999999996</v>
      </c>
      <c r="CD109" s="207">
        <v>-10589.180504435826</v>
      </c>
      <c r="CE109" s="207">
        <v>193733.6000457387</v>
      </c>
      <c r="CF109" s="207">
        <v>-249092.2889156761</v>
      </c>
      <c r="CG109" s="207">
        <v>185655.05915019277</v>
      </c>
      <c r="CH109" s="207">
        <v>253891.9528940875</v>
      </c>
      <c r="CI109" s="207">
        <v>0</v>
      </c>
      <c r="CJ109" s="207">
        <v>3240593.4127073903</v>
      </c>
      <c r="CK109" s="207">
        <v>691509</v>
      </c>
      <c r="CL109" s="207">
        <v>295994.1400000001</v>
      </c>
      <c r="CM109" s="207">
        <v>24541.2</v>
      </c>
      <c r="CN109" s="207">
        <v>271452.94000000006</v>
      </c>
      <c r="CO109" s="207">
        <v>11859646.639189709</v>
      </c>
      <c r="CP109" s="207">
        <v>13125222.574951157</v>
      </c>
      <c r="CQ109" s="207">
        <v>3637</v>
      </c>
    </row>
    <row r="110" spans="1:95" ht="11.25">
      <c r="A110" s="207">
        <v>301</v>
      </c>
      <c r="B110" s="207" t="s">
        <v>167</v>
      </c>
      <c r="C110" s="207">
        <v>20952</v>
      </c>
      <c r="D110" s="207">
        <v>78088143.05</v>
      </c>
      <c r="E110" s="207">
        <v>33399181.384197764</v>
      </c>
      <c r="F110" s="207">
        <v>3677505.0614557657</v>
      </c>
      <c r="G110" s="207">
        <v>115164829.49565352</v>
      </c>
      <c r="H110" s="207">
        <v>3664.46</v>
      </c>
      <c r="I110" s="207">
        <v>76777765.92</v>
      </c>
      <c r="J110" s="207">
        <v>38387063.57565352</v>
      </c>
      <c r="K110" s="207">
        <v>659616.9199981805</v>
      </c>
      <c r="L110" s="207">
        <v>-1765229.41303602</v>
      </c>
      <c r="M110" s="207">
        <v>0</v>
      </c>
      <c r="N110" s="207">
        <v>37281451.08261569</v>
      </c>
      <c r="O110" s="207">
        <v>18000100.47069962</v>
      </c>
      <c r="P110" s="207">
        <v>55281551.55331531</v>
      </c>
      <c r="Q110" s="207">
        <v>1135</v>
      </c>
      <c r="R110" s="207">
        <v>238</v>
      </c>
      <c r="S110" s="207">
        <v>1362</v>
      </c>
      <c r="T110" s="207">
        <v>711</v>
      </c>
      <c r="U110" s="207">
        <v>685</v>
      </c>
      <c r="V110" s="207">
        <v>10767</v>
      </c>
      <c r="W110" s="207">
        <v>3468</v>
      </c>
      <c r="X110" s="207">
        <v>1782</v>
      </c>
      <c r="Y110" s="207">
        <v>804</v>
      </c>
      <c r="Z110" s="207">
        <v>73</v>
      </c>
      <c r="AA110" s="207">
        <v>0</v>
      </c>
      <c r="AB110" s="207">
        <v>20541</v>
      </c>
      <c r="AC110" s="207">
        <v>338</v>
      </c>
      <c r="AD110" s="207">
        <v>6054</v>
      </c>
      <c r="AE110" s="481">
        <v>1.3492579644326301</v>
      </c>
      <c r="AF110" s="207">
        <v>33399181.384197764</v>
      </c>
      <c r="AG110" s="207" t="e">
        <v>#DIV/0!</v>
      </c>
      <c r="AH110" s="207" t="e">
        <v>#DIV/0!</v>
      </c>
      <c r="AI110" s="207" t="e">
        <v>#DIV/0!</v>
      </c>
      <c r="AJ110" s="175">
        <v>640</v>
      </c>
      <c r="AK110" s="175">
        <v>9237</v>
      </c>
      <c r="AL110" s="175">
        <v>0.7101879009870528</v>
      </c>
      <c r="AM110" s="175">
        <v>338</v>
      </c>
      <c r="AN110" s="175">
        <v>0.016132111492936235</v>
      </c>
      <c r="AO110" s="175">
        <v>0.012851032382473239</v>
      </c>
      <c r="AP110" s="175">
        <v>0</v>
      </c>
      <c r="AQ110" s="175">
        <v>73</v>
      </c>
      <c r="AR110" s="175">
        <v>0</v>
      </c>
      <c r="AS110" s="175">
        <v>0</v>
      </c>
      <c r="AT110" s="175">
        <v>0</v>
      </c>
      <c r="AU110" s="175">
        <v>1724.62</v>
      </c>
      <c r="AV110" s="175">
        <v>12.148763205807658</v>
      </c>
      <c r="AW110" s="175">
        <v>1.4940222171946196</v>
      </c>
      <c r="AX110" s="175">
        <v>708</v>
      </c>
      <c r="AY110" s="175">
        <v>5769</v>
      </c>
      <c r="AZ110" s="175">
        <v>0.12272490899635985</v>
      </c>
      <c r="BA110" s="175">
        <v>0.06154107291212536</v>
      </c>
      <c r="BB110" s="175">
        <v>0</v>
      </c>
      <c r="BC110" s="207">
        <v>7195</v>
      </c>
      <c r="BD110" s="175">
        <v>8099</v>
      </c>
      <c r="BE110" s="175">
        <v>0.8883812816397086</v>
      </c>
      <c r="BF110" s="175">
        <v>0.47947439904861555</v>
      </c>
      <c r="BG110" s="175">
        <v>0</v>
      </c>
      <c r="BH110" s="175">
        <v>0</v>
      </c>
      <c r="BI110" s="207">
        <v>0</v>
      </c>
      <c r="BJ110" s="207">
        <v>-5028.48</v>
      </c>
      <c r="BK110" s="207">
        <v>-85903.2</v>
      </c>
      <c r="BL110" s="207">
        <v>-5866.56</v>
      </c>
      <c r="BM110" s="207">
        <v>0</v>
      </c>
      <c r="BN110" s="207">
        <v>0</v>
      </c>
      <c r="BO110" s="207">
        <v>-113946</v>
      </c>
      <c r="BP110" s="207">
        <v>-674146.754345836</v>
      </c>
      <c r="BQ110" s="207">
        <v>-891717.12</v>
      </c>
      <c r="BR110" s="207">
        <v>261876.34645608068</v>
      </c>
      <c r="BS110" s="207">
        <v>2077689</v>
      </c>
      <c r="BT110" s="207">
        <v>680804</v>
      </c>
      <c r="BU110" s="207">
        <v>1686262.0985350716</v>
      </c>
      <c r="BV110" s="207">
        <v>83240.06106929644</v>
      </c>
      <c r="BW110" s="207">
        <v>147392.0110943074</v>
      </c>
      <c r="BX110" s="207">
        <v>733409.5022579217</v>
      </c>
      <c r="BY110" s="207">
        <v>1300647.7488145032</v>
      </c>
      <c r="BZ110" s="207">
        <v>1980529.4052533626</v>
      </c>
      <c r="CA110" s="207">
        <v>582317.8350698262</v>
      </c>
      <c r="CB110" s="207">
        <v>1046313.1277298393</v>
      </c>
      <c r="CC110" s="207">
        <v>1885.6799999999998</v>
      </c>
      <c r="CD110" s="207">
        <v>7905.22807848356</v>
      </c>
      <c r="CE110" s="207">
        <v>1189961.5813098163</v>
      </c>
      <c r="CF110" s="207">
        <v>-1765229.41303602</v>
      </c>
      <c r="CG110" s="207">
        <v>1011497.8467752521</v>
      </c>
      <c r="CH110" s="207">
        <v>1465573.3017267853</v>
      </c>
      <c r="CI110" s="207">
        <v>0</v>
      </c>
      <c r="CJ110" s="207">
        <v>18000100.47069962</v>
      </c>
      <c r="CK110" s="207">
        <v>-2690943</v>
      </c>
      <c r="CL110" s="207">
        <v>571400.94</v>
      </c>
      <c r="CM110" s="207">
        <v>154336.88</v>
      </c>
      <c r="CN110" s="207">
        <v>417064.05999999994</v>
      </c>
      <c r="CO110" s="207">
        <v>52590608.55331531</v>
      </c>
      <c r="CP110" s="207">
        <v>59302244.752278864</v>
      </c>
      <c r="CQ110" s="207">
        <v>21203</v>
      </c>
    </row>
    <row r="111" spans="1:95" ht="11.25">
      <c r="A111" s="207">
        <v>304</v>
      </c>
      <c r="B111" s="207" t="s">
        <v>168</v>
      </c>
      <c r="C111" s="207">
        <v>926</v>
      </c>
      <c r="D111" s="207">
        <v>2982275.4699999997</v>
      </c>
      <c r="E111" s="207">
        <v>1288650.490533724</v>
      </c>
      <c r="F111" s="207">
        <v>662557.1669933902</v>
      </c>
      <c r="G111" s="207">
        <v>4933483.127527113</v>
      </c>
      <c r="H111" s="207">
        <v>3664.46</v>
      </c>
      <c r="I111" s="207">
        <v>3393289.96</v>
      </c>
      <c r="J111" s="207">
        <v>1540193.167527113</v>
      </c>
      <c r="K111" s="207">
        <v>128183.89526489447</v>
      </c>
      <c r="L111" s="207">
        <v>3137.2195209712518</v>
      </c>
      <c r="M111" s="207">
        <v>0</v>
      </c>
      <c r="N111" s="207">
        <v>1671514.2823129788</v>
      </c>
      <c r="O111" s="207">
        <v>232149.02817820365</v>
      </c>
      <c r="P111" s="207">
        <v>1903663.3104911824</v>
      </c>
      <c r="Q111" s="207">
        <v>29</v>
      </c>
      <c r="R111" s="207">
        <v>5</v>
      </c>
      <c r="S111" s="207">
        <v>35</v>
      </c>
      <c r="T111" s="207">
        <v>17</v>
      </c>
      <c r="U111" s="207">
        <v>14</v>
      </c>
      <c r="V111" s="207">
        <v>473</v>
      </c>
      <c r="W111" s="207">
        <v>226</v>
      </c>
      <c r="X111" s="207">
        <v>92</v>
      </c>
      <c r="Y111" s="207">
        <v>35</v>
      </c>
      <c r="Z111" s="207">
        <v>12</v>
      </c>
      <c r="AA111" s="207">
        <v>0</v>
      </c>
      <c r="AB111" s="207">
        <v>887</v>
      </c>
      <c r="AC111" s="207">
        <v>27</v>
      </c>
      <c r="AD111" s="207">
        <v>353</v>
      </c>
      <c r="AE111" s="481">
        <v>1.1779010531808198</v>
      </c>
      <c r="AF111" s="207">
        <v>1288650.490533724</v>
      </c>
      <c r="AG111" s="207" t="e">
        <v>#DIV/0!</v>
      </c>
      <c r="AH111" s="207" t="e">
        <v>#DIV/0!</v>
      </c>
      <c r="AI111" s="207" t="e">
        <v>#DIV/0!</v>
      </c>
      <c r="AJ111" s="175">
        <v>36</v>
      </c>
      <c r="AK111" s="175">
        <v>362</v>
      </c>
      <c r="AL111" s="175">
        <v>1.0193378931760473</v>
      </c>
      <c r="AM111" s="175">
        <v>27</v>
      </c>
      <c r="AN111" s="175">
        <v>0.029157667386609073</v>
      </c>
      <c r="AO111" s="175">
        <v>0.025876588276146077</v>
      </c>
      <c r="AP111" s="175">
        <v>0</v>
      </c>
      <c r="AQ111" s="175">
        <v>12</v>
      </c>
      <c r="AR111" s="175">
        <v>0</v>
      </c>
      <c r="AS111" s="175">
        <v>1</v>
      </c>
      <c r="AT111" s="175">
        <v>0</v>
      </c>
      <c r="AU111" s="175">
        <v>165.81</v>
      </c>
      <c r="AV111" s="175">
        <v>5.584705385682407</v>
      </c>
      <c r="AW111" s="175">
        <v>3.250041118990079</v>
      </c>
      <c r="AX111" s="175">
        <v>41</v>
      </c>
      <c r="AY111" s="175">
        <v>220</v>
      </c>
      <c r="AZ111" s="175">
        <v>0.18636363636363637</v>
      </c>
      <c r="BA111" s="175">
        <v>0.12517980027940187</v>
      </c>
      <c r="BB111" s="175">
        <v>0.513933</v>
      </c>
      <c r="BC111" s="207">
        <v>262</v>
      </c>
      <c r="BD111" s="175">
        <v>318</v>
      </c>
      <c r="BE111" s="175">
        <v>0.8238993710691824</v>
      </c>
      <c r="BF111" s="175">
        <v>0.41499248847808934</v>
      </c>
      <c r="BG111" s="175">
        <v>0</v>
      </c>
      <c r="BH111" s="175">
        <v>0</v>
      </c>
      <c r="BI111" s="207">
        <v>0</v>
      </c>
      <c r="BJ111" s="207">
        <v>-222.23999999999998</v>
      </c>
      <c r="BK111" s="207">
        <v>-3796.5999999999995</v>
      </c>
      <c r="BL111" s="207">
        <v>-259.28000000000003</v>
      </c>
      <c r="BM111" s="207">
        <v>0</v>
      </c>
      <c r="BN111" s="207">
        <v>0</v>
      </c>
      <c r="BO111" s="207">
        <v>14097</v>
      </c>
      <c r="BP111" s="207">
        <v>5068.505048829436</v>
      </c>
      <c r="BQ111" s="207">
        <v>-39410.560000000005</v>
      </c>
      <c r="BR111" s="207">
        <v>44742.655345892534</v>
      </c>
      <c r="BS111" s="207">
        <v>85842</v>
      </c>
      <c r="BT111" s="207">
        <v>32620</v>
      </c>
      <c r="BU111" s="207">
        <v>75487.32994316822</v>
      </c>
      <c r="BV111" s="207">
        <v>4273.189155356878</v>
      </c>
      <c r="BW111" s="207">
        <v>8143.4788131842</v>
      </c>
      <c r="BX111" s="207">
        <v>29434.574132182515</v>
      </c>
      <c r="BY111" s="207">
        <v>45615.810298082986</v>
      </c>
      <c r="BZ111" s="207">
        <v>79648.67830292518</v>
      </c>
      <c r="CA111" s="207">
        <v>28605.933380118007</v>
      </c>
      <c r="CB111" s="207">
        <v>43665.68596173301</v>
      </c>
      <c r="CC111" s="207">
        <v>83.34</v>
      </c>
      <c r="CD111" s="207">
        <v>-4288.403771506481</v>
      </c>
      <c r="CE111" s="207">
        <v>98882.33447214183</v>
      </c>
      <c r="CF111" s="207">
        <v>3137.2195209712518</v>
      </c>
      <c r="CG111" s="207">
        <v>43331.00289775576</v>
      </c>
      <c r="CH111" s="207">
        <v>62556.22411619507</v>
      </c>
      <c r="CI111" s="207">
        <v>0</v>
      </c>
      <c r="CJ111" s="207">
        <v>232149.02817820365</v>
      </c>
      <c r="CK111" s="207">
        <v>-181514</v>
      </c>
      <c r="CL111" s="207">
        <v>0</v>
      </c>
      <c r="CM111" s="207">
        <v>185422.40000000002</v>
      </c>
      <c r="CN111" s="207">
        <v>-185422.40000000002</v>
      </c>
      <c r="CO111" s="207">
        <v>1722149.3104911824</v>
      </c>
      <c r="CP111" s="207">
        <v>2089039.5465156874</v>
      </c>
      <c r="CQ111" s="207">
        <v>923</v>
      </c>
    </row>
    <row r="112" spans="1:95" ht="11.25">
      <c r="A112" s="207">
        <v>305</v>
      </c>
      <c r="B112" s="207" t="s">
        <v>169</v>
      </c>
      <c r="C112" s="207">
        <v>15207</v>
      </c>
      <c r="D112" s="207">
        <v>54146144.41</v>
      </c>
      <c r="E112" s="207">
        <v>26005216.93927633</v>
      </c>
      <c r="F112" s="207">
        <v>5712449.902727614</v>
      </c>
      <c r="G112" s="207">
        <v>85863811.25200395</v>
      </c>
      <c r="H112" s="207">
        <v>3664.46</v>
      </c>
      <c r="I112" s="207">
        <v>55725443.22</v>
      </c>
      <c r="J112" s="207">
        <v>30138368.032003954</v>
      </c>
      <c r="K112" s="207">
        <v>3135041.906604041</v>
      </c>
      <c r="L112" s="207">
        <v>-1583099.4032477562</v>
      </c>
      <c r="M112" s="207">
        <v>0</v>
      </c>
      <c r="N112" s="207">
        <v>31690310.53536024</v>
      </c>
      <c r="O112" s="207">
        <v>10771381.173310017</v>
      </c>
      <c r="P112" s="207">
        <v>42461691.70867026</v>
      </c>
      <c r="Q112" s="207">
        <v>763</v>
      </c>
      <c r="R112" s="207">
        <v>178</v>
      </c>
      <c r="S112" s="207">
        <v>1015</v>
      </c>
      <c r="T112" s="207">
        <v>517</v>
      </c>
      <c r="U112" s="207">
        <v>468</v>
      </c>
      <c r="V112" s="207">
        <v>8235</v>
      </c>
      <c r="W112" s="207">
        <v>2222</v>
      </c>
      <c r="X112" s="207">
        <v>1341</v>
      </c>
      <c r="Y112" s="207">
        <v>468</v>
      </c>
      <c r="Z112" s="207">
        <v>35</v>
      </c>
      <c r="AA112" s="207">
        <v>5</v>
      </c>
      <c r="AB112" s="207">
        <v>14882</v>
      </c>
      <c r="AC112" s="207">
        <v>285</v>
      </c>
      <c r="AD112" s="207">
        <v>4031</v>
      </c>
      <c r="AE112" s="481">
        <v>1.4474433938944513</v>
      </c>
      <c r="AF112" s="207">
        <v>26005216.93927633</v>
      </c>
      <c r="AG112" s="207" t="e">
        <v>#DIV/0!</v>
      </c>
      <c r="AH112" s="207" t="e">
        <v>#DIV/0!</v>
      </c>
      <c r="AI112" s="207" t="e">
        <v>#DIV/0!</v>
      </c>
      <c r="AJ112" s="175">
        <v>637</v>
      </c>
      <c r="AK112" s="175">
        <v>6674</v>
      </c>
      <c r="AL112" s="175">
        <v>0.9783121988272794</v>
      </c>
      <c r="AM112" s="175">
        <v>285</v>
      </c>
      <c r="AN112" s="175">
        <v>0.01874136910633261</v>
      </c>
      <c r="AO112" s="175">
        <v>0.015460289995869615</v>
      </c>
      <c r="AP112" s="175">
        <v>0</v>
      </c>
      <c r="AQ112" s="175">
        <v>35</v>
      </c>
      <c r="AR112" s="175">
        <v>5</v>
      </c>
      <c r="AS112" s="175">
        <v>0</v>
      </c>
      <c r="AT112" s="175">
        <v>0</v>
      </c>
      <c r="AU112" s="175">
        <v>4978.3</v>
      </c>
      <c r="AV112" s="175">
        <v>3.0546572123013878</v>
      </c>
      <c r="AW112" s="175">
        <v>5.941917825613734</v>
      </c>
      <c r="AX112" s="175">
        <v>445</v>
      </c>
      <c r="AY112" s="175">
        <v>4273</v>
      </c>
      <c r="AZ112" s="175">
        <v>0.10414228879007723</v>
      </c>
      <c r="BA112" s="175">
        <v>0.04295845270584273</v>
      </c>
      <c r="BB112" s="175">
        <v>0.769082</v>
      </c>
      <c r="BC112" s="207">
        <v>5832</v>
      </c>
      <c r="BD112" s="175">
        <v>5747</v>
      </c>
      <c r="BE112" s="175">
        <v>1.0147903253871584</v>
      </c>
      <c r="BF112" s="175">
        <v>0.6058834427960653</v>
      </c>
      <c r="BG112" s="175">
        <v>0</v>
      </c>
      <c r="BH112" s="175">
        <v>5</v>
      </c>
      <c r="BI112" s="207">
        <v>0</v>
      </c>
      <c r="BJ112" s="207">
        <v>-3649.68</v>
      </c>
      <c r="BK112" s="207">
        <v>-62348.7</v>
      </c>
      <c r="BL112" s="207">
        <v>-4257.96</v>
      </c>
      <c r="BM112" s="207">
        <v>0</v>
      </c>
      <c r="BN112" s="207">
        <v>0</v>
      </c>
      <c r="BO112" s="207">
        <v>250403</v>
      </c>
      <c r="BP112" s="207">
        <v>-371748.7561271932</v>
      </c>
      <c r="BQ112" s="207">
        <v>-647209.92</v>
      </c>
      <c r="BR112" s="207">
        <v>-579082.7256268188</v>
      </c>
      <c r="BS112" s="207">
        <v>1313963</v>
      </c>
      <c r="BT112" s="207">
        <v>435634</v>
      </c>
      <c r="BU112" s="207">
        <v>1098414.486511707</v>
      </c>
      <c r="BV112" s="207">
        <v>52714.551751714826</v>
      </c>
      <c r="BW112" s="207">
        <v>141116.00218029704</v>
      </c>
      <c r="BX112" s="207">
        <v>546955.3250817208</v>
      </c>
      <c r="BY112" s="207">
        <v>838660.793254376</v>
      </c>
      <c r="BZ112" s="207">
        <v>1266459.4287688755</v>
      </c>
      <c r="CA112" s="207">
        <v>388094.8259751491</v>
      </c>
      <c r="CB112" s="207">
        <v>695696.6055543876</v>
      </c>
      <c r="CC112" s="207">
        <v>1368.6299999999999</v>
      </c>
      <c r="CD112" s="207">
        <v>2345.9150886613643</v>
      </c>
      <c r="CE112" s="207">
        <v>444235.44287943695</v>
      </c>
      <c r="CF112" s="207">
        <v>-1583099.4032477562</v>
      </c>
      <c r="CG112" s="207">
        <v>754145.6934175944</v>
      </c>
      <c r="CH112" s="207">
        <v>1000195.9963108232</v>
      </c>
      <c r="CI112" s="207">
        <v>0</v>
      </c>
      <c r="CJ112" s="207">
        <v>10771381.173310017</v>
      </c>
      <c r="CK112" s="207">
        <v>-1388863</v>
      </c>
      <c r="CL112" s="207">
        <v>109072</v>
      </c>
      <c r="CM112" s="207">
        <v>161726.508</v>
      </c>
      <c r="CN112" s="207">
        <v>-52654.508</v>
      </c>
      <c r="CO112" s="207">
        <v>41072828.70867026</v>
      </c>
      <c r="CP112" s="207">
        <v>45040093.77746997</v>
      </c>
      <c r="CQ112" s="207">
        <v>15386</v>
      </c>
    </row>
    <row r="113" spans="1:95" ht="11.25">
      <c r="A113" s="207">
        <v>312</v>
      </c>
      <c r="B113" s="207" t="s">
        <v>170</v>
      </c>
      <c r="C113" s="207">
        <v>1343</v>
      </c>
      <c r="D113" s="207">
        <v>5086520.49</v>
      </c>
      <c r="E113" s="207">
        <v>2045767.607259992</v>
      </c>
      <c r="F113" s="207">
        <v>552766.6996892083</v>
      </c>
      <c r="G113" s="207">
        <v>7685054.796949201</v>
      </c>
      <c r="H113" s="207">
        <v>3664.46</v>
      </c>
      <c r="I113" s="207">
        <v>4921369.78</v>
      </c>
      <c r="J113" s="207">
        <v>2763685.016949201</v>
      </c>
      <c r="K113" s="207">
        <v>299734.81702618115</v>
      </c>
      <c r="L113" s="207">
        <v>-132992.67125410316</v>
      </c>
      <c r="M113" s="207">
        <v>0</v>
      </c>
      <c r="N113" s="207">
        <v>2930427.162721279</v>
      </c>
      <c r="O113" s="207">
        <v>1149380.1967656626</v>
      </c>
      <c r="P113" s="207">
        <v>4079807.3594869417</v>
      </c>
      <c r="Q113" s="207">
        <v>84</v>
      </c>
      <c r="R113" s="207">
        <v>16</v>
      </c>
      <c r="S113" s="207">
        <v>87</v>
      </c>
      <c r="T113" s="207">
        <v>36</v>
      </c>
      <c r="U113" s="207">
        <v>47</v>
      </c>
      <c r="V113" s="207">
        <v>642</v>
      </c>
      <c r="W113" s="207">
        <v>248</v>
      </c>
      <c r="X113" s="207">
        <v>132</v>
      </c>
      <c r="Y113" s="207">
        <v>51</v>
      </c>
      <c r="Z113" s="207">
        <v>1</v>
      </c>
      <c r="AA113" s="207">
        <v>0</v>
      </c>
      <c r="AB113" s="207">
        <v>1321</v>
      </c>
      <c r="AC113" s="207">
        <v>21</v>
      </c>
      <c r="AD113" s="207">
        <v>431</v>
      </c>
      <c r="AE113" s="481">
        <v>1.2893325249363032</v>
      </c>
      <c r="AF113" s="207">
        <v>2045767.607259992</v>
      </c>
      <c r="AG113" s="207" t="e">
        <v>#DIV/0!</v>
      </c>
      <c r="AH113" s="207" t="e">
        <v>#DIV/0!</v>
      </c>
      <c r="AI113" s="207" t="e">
        <v>#DIV/0!</v>
      </c>
      <c r="AJ113" s="175">
        <v>54</v>
      </c>
      <c r="AK113" s="175">
        <v>557</v>
      </c>
      <c r="AL113" s="175">
        <v>0.9937171920908323</v>
      </c>
      <c r="AM113" s="175">
        <v>21</v>
      </c>
      <c r="AN113" s="175">
        <v>0.01563663440059568</v>
      </c>
      <c r="AO113" s="175">
        <v>0.012355555290132686</v>
      </c>
      <c r="AP113" s="175">
        <v>0</v>
      </c>
      <c r="AQ113" s="175">
        <v>1</v>
      </c>
      <c r="AR113" s="175">
        <v>0</v>
      </c>
      <c r="AS113" s="175">
        <v>0</v>
      </c>
      <c r="AT113" s="175">
        <v>0</v>
      </c>
      <c r="AU113" s="175">
        <v>448.2</v>
      </c>
      <c r="AV113" s="175">
        <v>2.996430165104864</v>
      </c>
      <c r="AW113" s="175">
        <v>6.057381998181149</v>
      </c>
      <c r="AX113" s="175">
        <v>60</v>
      </c>
      <c r="AY113" s="175">
        <v>311</v>
      </c>
      <c r="AZ113" s="175">
        <v>0.19292604501607716</v>
      </c>
      <c r="BA113" s="175">
        <v>0.13174220893184266</v>
      </c>
      <c r="BB113" s="175">
        <v>0.835116</v>
      </c>
      <c r="BC113" s="207">
        <v>486</v>
      </c>
      <c r="BD113" s="175">
        <v>460</v>
      </c>
      <c r="BE113" s="175">
        <v>1.0565217391304347</v>
      </c>
      <c r="BF113" s="175">
        <v>0.6476148565393416</v>
      </c>
      <c r="BG113" s="175">
        <v>0</v>
      </c>
      <c r="BH113" s="175">
        <v>0</v>
      </c>
      <c r="BI113" s="207">
        <v>0</v>
      </c>
      <c r="BJ113" s="207">
        <v>-322.32</v>
      </c>
      <c r="BK113" s="207">
        <v>-5506.299999999999</v>
      </c>
      <c r="BL113" s="207">
        <v>-376.04</v>
      </c>
      <c r="BM113" s="207">
        <v>0</v>
      </c>
      <c r="BN113" s="207">
        <v>0</v>
      </c>
      <c r="BO113" s="207">
        <v>11212</v>
      </c>
      <c r="BP113" s="207">
        <v>-35426.94470557947</v>
      </c>
      <c r="BQ113" s="207">
        <v>-57158.08</v>
      </c>
      <c r="BR113" s="207">
        <v>-17635.270867861807</v>
      </c>
      <c r="BS113" s="207">
        <v>144901</v>
      </c>
      <c r="BT113" s="207">
        <v>45985</v>
      </c>
      <c r="BU113" s="207">
        <v>129179.66506163221</v>
      </c>
      <c r="BV113" s="207">
        <v>6978.775756307908</v>
      </c>
      <c r="BW113" s="207">
        <v>17248.587342765153</v>
      </c>
      <c r="BX113" s="207">
        <v>61124.31556323072</v>
      </c>
      <c r="BY113" s="207">
        <v>69743.67295566997</v>
      </c>
      <c r="BZ113" s="207">
        <v>130961.70997997127</v>
      </c>
      <c r="CA113" s="207">
        <v>33993.843416983786</v>
      </c>
      <c r="CB113" s="207">
        <v>69898.03397201427</v>
      </c>
      <c r="CC113" s="207">
        <v>120.86999999999999</v>
      </c>
      <c r="CD113" s="207">
        <v>-13878.66558077902</v>
      </c>
      <c r="CE113" s="207">
        <v>48646.683451476325</v>
      </c>
      <c r="CF113" s="207">
        <v>-132992.67125410316</v>
      </c>
      <c r="CG113" s="207">
        <v>67498.17990011715</v>
      </c>
      <c r="CH113" s="207">
        <v>90609.47637839374</v>
      </c>
      <c r="CI113" s="207">
        <v>0</v>
      </c>
      <c r="CJ113" s="207">
        <v>1149380.1967656626</v>
      </c>
      <c r="CK113" s="207">
        <v>-334614</v>
      </c>
      <c r="CL113" s="207">
        <v>77918.31</v>
      </c>
      <c r="CM113" s="207">
        <v>6817</v>
      </c>
      <c r="CN113" s="207">
        <v>71101.31</v>
      </c>
      <c r="CO113" s="207">
        <v>3745193.3594869417</v>
      </c>
      <c r="CP113" s="207">
        <v>4075109.5361669566</v>
      </c>
      <c r="CQ113" s="207">
        <v>1352</v>
      </c>
    </row>
    <row r="114" spans="1:95" ht="11.25">
      <c r="A114" s="207">
        <v>316</v>
      </c>
      <c r="B114" s="207" t="s">
        <v>171</v>
      </c>
      <c r="C114" s="207">
        <v>4451</v>
      </c>
      <c r="D114" s="207">
        <v>15064953.969999999</v>
      </c>
      <c r="E114" s="207">
        <v>5288994.304904402</v>
      </c>
      <c r="F114" s="207">
        <v>1161309.3444040255</v>
      </c>
      <c r="G114" s="207">
        <v>21515257.619308427</v>
      </c>
      <c r="H114" s="207">
        <v>3664.46</v>
      </c>
      <c r="I114" s="207">
        <v>16310511.46</v>
      </c>
      <c r="J114" s="207">
        <v>5204746.159308426</v>
      </c>
      <c r="K114" s="207">
        <v>159376.44613505393</v>
      </c>
      <c r="L114" s="207">
        <v>-610004.8204693461</v>
      </c>
      <c r="M114" s="207">
        <v>0</v>
      </c>
      <c r="N114" s="207">
        <v>4754117.7849741345</v>
      </c>
      <c r="O114" s="207">
        <v>2846375.6514934218</v>
      </c>
      <c r="P114" s="207">
        <v>7600493.436467556</v>
      </c>
      <c r="Q114" s="207">
        <v>210</v>
      </c>
      <c r="R114" s="207">
        <v>42</v>
      </c>
      <c r="S114" s="207">
        <v>292</v>
      </c>
      <c r="T114" s="207">
        <v>143</v>
      </c>
      <c r="U114" s="207">
        <v>142</v>
      </c>
      <c r="V114" s="207">
        <v>2445</v>
      </c>
      <c r="W114" s="207">
        <v>727</v>
      </c>
      <c r="X114" s="207">
        <v>327</v>
      </c>
      <c r="Y114" s="207">
        <v>123</v>
      </c>
      <c r="Z114" s="207">
        <v>20</v>
      </c>
      <c r="AA114" s="207">
        <v>1</v>
      </c>
      <c r="AB114" s="207">
        <v>4279</v>
      </c>
      <c r="AC114" s="207">
        <v>151</v>
      </c>
      <c r="AD114" s="207">
        <v>1177</v>
      </c>
      <c r="AE114" s="481">
        <v>1.0057734299806895</v>
      </c>
      <c r="AF114" s="207">
        <v>5288994.304904402</v>
      </c>
      <c r="AG114" s="207" t="e">
        <v>#DIV/0!</v>
      </c>
      <c r="AH114" s="207" t="e">
        <v>#DIV/0!</v>
      </c>
      <c r="AI114" s="207" t="e">
        <v>#DIV/0!</v>
      </c>
      <c r="AJ114" s="175">
        <v>214</v>
      </c>
      <c r="AK114" s="175">
        <v>2074</v>
      </c>
      <c r="AL114" s="175">
        <v>1.0576190387410536</v>
      </c>
      <c r="AM114" s="175">
        <v>151</v>
      </c>
      <c r="AN114" s="175">
        <v>0.03392496068299258</v>
      </c>
      <c r="AO114" s="175">
        <v>0.030643881572529588</v>
      </c>
      <c r="AP114" s="175">
        <v>0</v>
      </c>
      <c r="AQ114" s="175">
        <v>20</v>
      </c>
      <c r="AR114" s="175">
        <v>1</v>
      </c>
      <c r="AS114" s="175">
        <v>0</v>
      </c>
      <c r="AT114" s="175">
        <v>0</v>
      </c>
      <c r="AU114" s="175">
        <v>256.49</v>
      </c>
      <c r="AV114" s="175">
        <v>17.353503060548167</v>
      </c>
      <c r="AW114" s="175">
        <v>1.0459284259543518</v>
      </c>
      <c r="AX114" s="175">
        <v>290</v>
      </c>
      <c r="AY114" s="175">
        <v>1372</v>
      </c>
      <c r="AZ114" s="175">
        <v>0.21137026239067055</v>
      </c>
      <c r="BA114" s="175">
        <v>0.15018642630643605</v>
      </c>
      <c r="BB114" s="175">
        <v>0</v>
      </c>
      <c r="BC114" s="207">
        <v>1731</v>
      </c>
      <c r="BD114" s="175">
        <v>1814</v>
      </c>
      <c r="BE114" s="175">
        <v>0.954244762954796</v>
      </c>
      <c r="BF114" s="175">
        <v>0.5453378803637029</v>
      </c>
      <c r="BG114" s="175">
        <v>0</v>
      </c>
      <c r="BH114" s="175">
        <v>1</v>
      </c>
      <c r="BI114" s="207">
        <v>0</v>
      </c>
      <c r="BJ114" s="207">
        <v>-1068.24</v>
      </c>
      <c r="BK114" s="207">
        <v>-18249.1</v>
      </c>
      <c r="BL114" s="207">
        <v>-1246.2800000000002</v>
      </c>
      <c r="BM114" s="207">
        <v>0</v>
      </c>
      <c r="BN114" s="207">
        <v>0</v>
      </c>
      <c r="BO114" s="207">
        <v>7835</v>
      </c>
      <c r="BP114" s="207">
        <v>-323181.62783946475</v>
      </c>
      <c r="BQ114" s="207">
        <v>-189434.56</v>
      </c>
      <c r="BR114" s="207">
        <v>-35237.641212861985</v>
      </c>
      <c r="BS114" s="207">
        <v>389680</v>
      </c>
      <c r="BT114" s="207">
        <v>123884</v>
      </c>
      <c r="BU114" s="207">
        <v>273763.615764534</v>
      </c>
      <c r="BV114" s="207">
        <v>13590.197081574734</v>
      </c>
      <c r="BW114" s="207">
        <v>61909.680832856684</v>
      </c>
      <c r="BX114" s="207">
        <v>128987.01462709896</v>
      </c>
      <c r="BY114" s="207">
        <v>247071.45361683314</v>
      </c>
      <c r="BZ114" s="207">
        <v>415674.0463340416</v>
      </c>
      <c r="CA114" s="207">
        <v>112439.5435973581</v>
      </c>
      <c r="CB114" s="207">
        <v>194656.08423247086</v>
      </c>
      <c r="CC114" s="207">
        <v>400.59</v>
      </c>
      <c r="CD114" s="207">
        <v>31383.268910239327</v>
      </c>
      <c r="CE114" s="207">
        <v>197757.17737011853</v>
      </c>
      <c r="CF114" s="207">
        <v>-610004.8204693461</v>
      </c>
      <c r="CG114" s="207">
        <v>188969.4696727412</v>
      </c>
      <c r="CH114" s="207">
        <v>270019.8896179035</v>
      </c>
      <c r="CI114" s="207">
        <v>0</v>
      </c>
      <c r="CJ114" s="207">
        <v>2846375.6514934218</v>
      </c>
      <c r="CK114" s="207">
        <v>-1050124</v>
      </c>
      <c r="CL114" s="207">
        <v>107776.77</v>
      </c>
      <c r="CM114" s="207">
        <v>249556.736</v>
      </c>
      <c r="CN114" s="207">
        <v>-141779.96600000001</v>
      </c>
      <c r="CO114" s="207">
        <v>6550369.436467556</v>
      </c>
      <c r="CP114" s="207">
        <v>7786187.248528086</v>
      </c>
      <c r="CQ114" s="207">
        <v>4508</v>
      </c>
    </row>
    <row r="115" spans="1:95" ht="11.25">
      <c r="A115" s="207">
        <v>317</v>
      </c>
      <c r="B115" s="207" t="s">
        <v>172</v>
      </c>
      <c r="C115" s="207">
        <v>2613</v>
      </c>
      <c r="D115" s="207">
        <v>10355254.58</v>
      </c>
      <c r="E115" s="207">
        <v>4916612.055704479</v>
      </c>
      <c r="F115" s="207">
        <v>855306.4191434778</v>
      </c>
      <c r="G115" s="207">
        <v>16127173.054847958</v>
      </c>
      <c r="H115" s="207">
        <v>3664.46</v>
      </c>
      <c r="I115" s="207">
        <v>9575233.98</v>
      </c>
      <c r="J115" s="207">
        <v>6551939.074847957</v>
      </c>
      <c r="K115" s="207">
        <v>605529.7645959192</v>
      </c>
      <c r="L115" s="207">
        <v>-94426.20136018185</v>
      </c>
      <c r="M115" s="207">
        <v>0</v>
      </c>
      <c r="N115" s="207">
        <v>7063042.6380836945</v>
      </c>
      <c r="O115" s="207">
        <v>2962143.6066665007</v>
      </c>
      <c r="P115" s="207">
        <v>10025186.244750194</v>
      </c>
      <c r="Q115" s="207">
        <v>160</v>
      </c>
      <c r="R115" s="207">
        <v>35</v>
      </c>
      <c r="S115" s="207">
        <v>217</v>
      </c>
      <c r="T115" s="207">
        <v>108</v>
      </c>
      <c r="U115" s="207">
        <v>112</v>
      </c>
      <c r="V115" s="207">
        <v>1290</v>
      </c>
      <c r="W115" s="207">
        <v>360</v>
      </c>
      <c r="X115" s="207">
        <v>242</v>
      </c>
      <c r="Y115" s="207">
        <v>89</v>
      </c>
      <c r="Z115" s="207">
        <v>2</v>
      </c>
      <c r="AA115" s="207">
        <v>0</v>
      </c>
      <c r="AB115" s="207">
        <v>2587</v>
      </c>
      <c r="AC115" s="207">
        <v>24</v>
      </c>
      <c r="AD115" s="207">
        <v>691</v>
      </c>
      <c r="AE115" s="481">
        <v>1.5926164065696444</v>
      </c>
      <c r="AF115" s="207">
        <v>4916612.055704479</v>
      </c>
      <c r="AG115" s="207" t="e">
        <v>#DIV/0!</v>
      </c>
      <c r="AH115" s="207" t="e">
        <v>#DIV/0!</v>
      </c>
      <c r="AI115" s="207" t="e">
        <v>#DIV/0!</v>
      </c>
      <c r="AJ115" s="175">
        <v>97</v>
      </c>
      <c r="AK115" s="175">
        <v>1032</v>
      </c>
      <c r="AL115" s="175">
        <v>0.9634213711505093</v>
      </c>
      <c r="AM115" s="175">
        <v>24</v>
      </c>
      <c r="AN115" s="175">
        <v>0.009184845005740528</v>
      </c>
      <c r="AO115" s="175">
        <v>0.005903765895277532</v>
      </c>
      <c r="AP115" s="175">
        <v>0</v>
      </c>
      <c r="AQ115" s="175">
        <v>2</v>
      </c>
      <c r="AR115" s="175">
        <v>0</v>
      </c>
      <c r="AS115" s="175">
        <v>0</v>
      </c>
      <c r="AT115" s="175">
        <v>0</v>
      </c>
      <c r="AU115" s="175">
        <v>695.97</v>
      </c>
      <c r="AV115" s="175">
        <v>3.754472175524807</v>
      </c>
      <c r="AW115" s="175">
        <v>4.83437385932313</v>
      </c>
      <c r="AX115" s="175">
        <v>97</v>
      </c>
      <c r="AY115" s="175">
        <v>672</v>
      </c>
      <c r="AZ115" s="175">
        <v>0.14434523809523808</v>
      </c>
      <c r="BA115" s="175">
        <v>0.08316140201100358</v>
      </c>
      <c r="BB115" s="175">
        <v>0.922233</v>
      </c>
      <c r="BC115" s="207">
        <v>817</v>
      </c>
      <c r="BD115" s="175">
        <v>908</v>
      </c>
      <c r="BE115" s="175">
        <v>0.8997797356828194</v>
      </c>
      <c r="BF115" s="175">
        <v>0.49087285309172635</v>
      </c>
      <c r="BG115" s="175">
        <v>0</v>
      </c>
      <c r="BH115" s="175">
        <v>0</v>
      </c>
      <c r="BI115" s="207">
        <v>0</v>
      </c>
      <c r="BJ115" s="207">
        <v>-627.12</v>
      </c>
      <c r="BK115" s="207">
        <v>-10713.3</v>
      </c>
      <c r="BL115" s="207">
        <v>-731.6400000000001</v>
      </c>
      <c r="BM115" s="207">
        <v>0</v>
      </c>
      <c r="BN115" s="207">
        <v>0</v>
      </c>
      <c r="BO115" s="207">
        <v>60418</v>
      </c>
      <c r="BP115" s="207">
        <v>-78322.36466948935</v>
      </c>
      <c r="BQ115" s="207">
        <v>-111209.28</v>
      </c>
      <c r="BR115" s="207">
        <v>49000.51558020711</v>
      </c>
      <c r="BS115" s="207">
        <v>296680</v>
      </c>
      <c r="BT115" s="207">
        <v>93301</v>
      </c>
      <c r="BU115" s="207">
        <v>241156.9708270324</v>
      </c>
      <c r="BV115" s="207">
        <v>12942.928733045273</v>
      </c>
      <c r="BW115" s="207">
        <v>34878.62628951513</v>
      </c>
      <c r="BX115" s="207">
        <v>119431.05590188224</v>
      </c>
      <c r="BY115" s="207">
        <v>172131.00315916064</v>
      </c>
      <c r="BZ115" s="207">
        <v>235013.8605017155</v>
      </c>
      <c r="CA115" s="207">
        <v>78449.33164571795</v>
      </c>
      <c r="CB115" s="207">
        <v>136398.27916938005</v>
      </c>
      <c r="CC115" s="207">
        <v>235.17</v>
      </c>
      <c r="CD115" s="207">
        <v>14487.235701096903</v>
      </c>
      <c r="CE115" s="207">
        <v>268373.4733093075</v>
      </c>
      <c r="CF115" s="207">
        <v>-94426.20136018185</v>
      </c>
      <c r="CG115" s="207">
        <v>141645.68202800347</v>
      </c>
      <c r="CH115" s="207">
        <v>205622.49604416234</v>
      </c>
      <c r="CI115" s="207">
        <v>0</v>
      </c>
      <c r="CJ115" s="207">
        <v>2962143.6066665007</v>
      </c>
      <c r="CK115" s="207">
        <v>14739</v>
      </c>
      <c r="CL115" s="207">
        <v>53172.600000000006</v>
      </c>
      <c r="CM115" s="207">
        <v>42265.4</v>
      </c>
      <c r="CN115" s="207">
        <v>10907.200000000004</v>
      </c>
      <c r="CO115" s="207">
        <v>10039925.244750194</v>
      </c>
      <c r="CP115" s="207">
        <v>10894380.123375585</v>
      </c>
      <c r="CQ115" s="207">
        <v>2611</v>
      </c>
    </row>
    <row r="116" spans="1:95" ht="11.25">
      <c r="A116" s="207">
        <v>398</v>
      </c>
      <c r="B116" s="207" t="s">
        <v>173</v>
      </c>
      <c r="C116" s="207">
        <v>119951</v>
      </c>
      <c r="D116" s="207">
        <v>400980466.05</v>
      </c>
      <c r="E116" s="207">
        <v>152274700.3514951</v>
      </c>
      <c r="F116" s="207">
        <v>37017538.01903093</v>
      </c>
      <c r="G116" s="207">
        <v>590272704.420526</v>
      </c>
      <c r="H116" s="207">
        <v>3664.46</v>
      </c>
      <c r="I116" s="207">
        <v>439555641.46</v>
      </c>
      <c r="J116" s="207">
        <v>150717062.96052605</v>
      </c>
      <c r="K116" s="207">
        <v>5290346.151261155</v>
      </c>
      <c r="L116" s="207">
        <v>-16438215.861357221</v>
      </c>
      <c r="M116" s="207">
        <v>0</v>
      </c>
      <c r="N116" s="207">
        <v>139569193.25043</v>
      </c>
      <c r="O116" s="207">
        <v>33671043.97919446</v>
      </c>
      <c r="P116" s="207">
        <v>173240237.22962445</v>
      </c>
      <c r="Q116" s="207">
        <v>6561</v>
      </c>
      <c r="R116" s="207">
        <v>1260</v>
      </c>
      <c r="S116" s="207">
        <v>7392</v>
      </c>
      <c r="T116" s="207">
        <v>3544</v>
      </c>
      <c r="U116" s="207">
        <v>3838</v>
      </c>
      <c r="V116" s="207">
        <v>68683</v>
      </c>
      <c r="W116" s="207">
        <v>16770</v>
      </c>
      <c r="X116" s="207">
        <v>8743</v>
      </c>
      <c r="Y116" s="207">
        <v>3160</v>
      </c>
      <c r="Z116" s="207">
        <v>453</v>
      </c>
      <c r="AA116" s="207">
        <v>14</v>
      </c>
      <c r="AB116" s="207">
        <v>111171</v>
      </c>
      <c r="AC116" s="207">
        <v>8313</v>
      </c>
      <c r="AD116" s="207">
        <v>28673</v>
      </c>
      <c r="AE116" s="481">
        <v>1.0745052307724616</v>
      </c>
      <c r="AF116" s="207">
        <v>152274700.3514951</v>
      </c>
      <c r="AG116" s="207" t="e">
        <v>#DIV/0!</v>
      </c>
      <c r="AH116" s="207" t="e">
        <v>#DIV/0!</v>
      </c>
      <c r="AI116" s="207" t="e">
        <v>#DIV/0!</v>
      </c>
      <c r="AJ116" s="175">
        <v>7978</v>
      </c>
      <c r="AK116" s="175">
        <v>56791</v>
      </c>
      <c r="AL116" s="175">
        <v>1.4399212960468006</v>
      </c>
      <c r="AM116" s="175">
        <v>8313</v>
      </c>
      <c r="AN116" s="175">
        <v>0.06930329884702921</v>
      </c>
      <c r="AO116" s="175">
        <v>0.06602221973656622</v>
      </c>
      <c r="AP116" s="175">
        <v>0</v>
      </c>
      <c r="AQ116" s="175">
        <v>453</v>
      </c>
      <c r="AR116" s="175">
        <v>14</v>
      </c>
      <c r="AS116" s="175">
        <v>0</v>
      </c>
      <c r="AT116" s="175">
        <v>0</v>
      </c>
      <c r="AU116" s="175">
        <v>459.48</v>
      </c>
      <c r="AV116" s="175">
        <v>261.0581526943501</v>
      </c>
      <c r="AW116" s="175">
        <v>0.06952673936279635</v>
      </c>
      <c r="AX116" s="175">
        <v>6021</v>
      </c>
      <c r="AY116" s="175">
        <v>36413</v>
      </c>
      <c r="AZ116" s="175">
        <v>0.16535303325735315</v>
      </c>
      <c r="BA116" s="175">
        <v>0.10416919717311865</v>
      </c>
      <c r="BB116" s="175">
        <v>0</v>
      </c>
      <c r="BC116" s="207">
        <v>50483</v>
      </c>
      <c r="BD116" s="175">
        <v>46717</v>
      </c>
      <c r="BE116" s="175">
        <v>1.080613053064195</v>
      </c>
      <c r="BF116" s="175">
        <v>0.671706170473102</v>
      </c>
      <c r="BG116" s="175">
        <v>0</v>
      </c>
      <c r="BH116" s="175">
        <v>14</v>
      </c>
      <c r="BI116" s="207">
        <v>0</v>
      </c>
      <c r="BJ116" s="207">
        <v>-28788.239999999998</v>
      </c>
      <c r="BK116" s="207">
        <v>-491799.1</v>
      </c>
      <c r="BL116" s="207">
        <v>-33586.280000000006</v>
      </c>
      <c r="BM116" s="207">
        <v>0</v>
      </c>
      <c r="BN116" s="207">
        <v>0</v>
      </c>
      <c r="BO116" s="207">
        <v>3879229</v>
      </c>
      <c r="BP116" s="207">
        <v>-13923563.427454863</v>
      </c>
      <c r="BQ116" s="207">
        <v>-5105114.5600000005</v>
      </c>
      <c r="BR116" s="207">
        <v>-194497.132058952</v>
      </c>
      <c r="BS116" s="207">
        <v>8053889</v>
      </c>
      <c r="BT116" s="207">
        <v>2744547</v>
      </c>
      <c r="BU116" s="207">
        <v>6470503.743043369</v>
      </c>
      <c r="BV116" s="207">
        <v>262175.4958546273</v>
      </c>
      <c r="BW116" s="207">
        <v>117375.99346749118</v>
      </c>
      <c r="BX116" s="207">
        <v>3024360.3881341554</v>
      </c>
      <c r="BY116" s="207">
        <v>5639445.098830124</v>
      </c>
      <c r="BZ116" s="207">
        <v>8570366.7796735</v>
      </c>
      <c r="CA116" s="207">
        <v>2792435.931143376</v>
      </c>
      <c r="CB116" s="207">
        <v>4955703.451213543</v>
      </c>
      <c r="CC116" s="207">
        <v>10795.59</v>
      </c>
      <c r="CD116" s="207">
        <v>1545742.4326244416</v>
      </c>
      <c r="CE116" s="207">
        <v>10544412.936097646</v>
      </c>
      <c r="CF116" s="207">
        <v>-16438215.861357221</v>
      </c>
      <c r="CG116" s="207">
        <v>5184391.555532158</v>
      </c>
      <c r="CH116" s="207">
        <v>6830696.05025539</v>
      </c>
      <c r="CI116" s="207">
        <v>0</v>
      </c>
      <c r="CJ116" s="207">
        <v>33671043.97919446</v>
      </c>
      <c r="CK116" s="207">
        <v>-5564265</v>
      </c>
      <c r="CL116" s="207">
        <v>2814193.940000002</v>
      </c>
      <c r="CM116" s="207">
        <v>9169732.122399997</v>
      </c>
      <c r="CN116" s="207">
        <v>-6355538.182399996</v>
      </c>
      <c r="CO116" s="207">
        <v>167675972.22962445</v>
      </c>
      <c r="CP116" s="207">
        <v>188699813.45214242</v>
      </c>
      <c r="CQ116" s="207">
        <v>119573</v>
      </c>
    </row>
    <row r="117" spans="1:95" ht="11.25">
      <c r="A117" s="207">
        <v>399</v>
      </c>
      <c r="B117" s="207" t="s">
        <v>174</v>
      </c>
      <c r="C117" s="207">
        <v>8058</v>
      </c>
      <c r="D117" s="207">
        <v>30253856.629999995</v>
      </c>
      <c r="E117" s="207">
        <v>9271433.010514777</v>
      </c>
      <c r="F117" s="207">
        <v>1099857.8158519883</v>
      </c>
      <c r="G117" s="207">
        <v>40625147.45636676</v>
      </c>
      <c r="H117" s="207">
        <v>3664.46</v>
      </c>
      <c r="I117" s="207">
        <v>29528218.68</v>
      </c>
      <c r="J117" s="207">
        <v>11096928.776366763</v>
      </c>
      <c r="K117" s="207">
        <v>67602.41436605463</v>
      </c>
      <c r="L117" s="207">
        <v>-716112.6497372176</v>
      </c>
      <c r="M117" s="207">
        <v>0</v>
      </c>
      <c r="N117" s="207">
        <v>10448418.5409956</v>
      </c>
      <c r="O117" s="207">
        <v>3277494.5566067225</v>
      </c>
      <c r="P117" s="207">
        <v>13725913.097602323</v>
      </c>
      <c r="Q117" s="207">
        <v>572</v>
      </c>
      <c r="R117" s="207">
        <v>127</v>
      </c>
      <c r="S117" s="207">
        <v>716</v>
      </c>
      <c r="T117" s="207">
        <v>299</v>
      </c>
      <c r="U117" s="207">
        <v>275</v>
      </c>
      <c r="V117" s="207">
        <v>4293</v>
      </c>
      <c r="W117" s="207">
        <v>1045</v>
      </c>
      <c r="X117" s="207">
        <v>507</v>
      </c>
      <c r="Y117" s="207">
        <v>224</v>
      </c>
      <c r="Z117" s="207">
        <v>93</v>
      </c>
      <c r="AA117" s="207">
        <v>0</v>
      </c>
      <c r="AB117" s="207">
        <v>7856</v>
      </c>
      <c r="AC117" s="207">
        <v>109</v>
      </c>
      <c r="AD117" s="207">
        <v>1776</v>
      </c>
      <c r="AE117" s="481">
        <v>0.9738773269263136</v>
      </c>
      <c r="AF117" s="207">
        <v>9271433.010514777</v>
      </c>
      <c r="AG117" s="207" t="e">
        <v>#DIV/0!</v>
      </c>
      <c r="AH117" s="207" t="e">
        <v>#DIV/0!</v>
      </c>
      <c r="AI117" s="207" t="e">
        <v>#DIV/0!</v>
      </c>
      <c r="AJ117" s="175">
        <v>234</v>
      </c>
      <c r="AK117" s="175">
        <v>3789</v>
      </c>
      <c r="AL117" s="175">
        <v>0.6330171714550644</v>
      </c>
      <c r="AM117" s="175">
        <v>109</v>
      </c>
      <c r="AN117" s="175">
        <v>0.01352692975924547</v>
      </c>
      <c r="AO117" s="175">
        <v>0.010245850648782473</v>
      </c>
      <c r="AP117" s="175">
        <v>0</v>
      </c>
      <c r="AQ117" s="175">
        <v>93</v>
      </c>
      <c r="AR117" s="175">
        <v>0</v>
      </c>
      <c r="AS117" s="175">
        <v>0</v>
      </c>
      <c r="AT117" s="175">
        <v>0</v>
      </c>
      <c r="AU117" s="175">
        <v>505.16</v>
      </c>
      <c r="AV117" s="175">
        <v>15.951381740438672</v>
      </c>
      <c r="AW117" s="175">
        <v>1.1378651979031644</v>
      </c>
      <c r="AX117" s="175">
        <v>239</v>
      </c>
      <c r="AY117" s="175">
        <v>2600</v>
      </c>
      <c r="AZ117" s="175">
        <v>0.09192307692307693</v>
      </c>
      <c r="BA117" s="175">
        <v>0.030739240838842434</v>
      </c>
      <c r="BB117" s="175">
        <v>0</v>
      </c>
      <c r="BC117" s="207">
        <v>1829</v>
      </c>
      <c r="BD117" s="175">
        <v>3408</v>
      </c>
      <c r="BE117" s="175">
        <v>0.5366784037558685</v>
      </c>
      <c r="BF117" s="175">
        <v>0.12777152116477541</v>
      </c>
      <c r="BG117" s="175">
        <v>0</v>
      </c>
      <c r="BH117" s="175">
        <v>0</v>
      </c>
      <c r="BI117" s="207">
        <v>0</v>
      </c>
      <c r="BJ117" s="207">
        <v>-1933.9199999999998</v>
      </c>
      <c r="BK117" s="207">
        <v>-33037.799999999996</v>
      </c>
      <c r="BL117" s="207">
        <v>-2256.2400000000002</v>
      </c>
      <c r="BM117" s="207">
        <v>0</v>
      </c>
      <c r="BN117" s="207">
        <v>0</v>
      </c>
      <c r="BO117" s="207">
        <v>-80765</v>
      </c>
      <c r="BP117" s="207">
        <v>-28389.3784524503</v>
      </c>
      <c r="BQ117" s="207">
        <v>-342948.48000000004</v>
      </c>
      <c r="BR117" s="207">
        <v>-82669.05663659237</v>
      </c>
      <c r="BS117" s="207">
        <v>630442</v>
      </c>
      <c r="BT117" s="207">
        <v>196494</v>
      </c>
      <c r="BU117" s="207">
        <v>488277.6115921374</v>
      </c>
      <c r="BV117" s="207">
        <v>13438.707080138607</v>
      </c>
      <c r="BW117" s="207">
        <v>56865.71957189152</v>
      </c>
      <c r="BX117" s="207">
        <v>183097.91458002324</v>
      </c>
      <c r="BY117" s="207">
        <v>402271.6029004239</v>
      </c>
      <c r="BZ117" s="207">
        <v>650793.6444336704</v>
      </c>
      <c r="CA117" s="207">
        <v>171958.51660430492</v>
      </c>
      <c r="CB117" s="207">
        <v>332204.5728419575</v>
      </c>
      <c r="CC117" s="207">
        <v>725.22</v>
      </c>
      <c r="CD117" s="207">
        <v>-12529.881211991415</v>
      </c>
      <c r="CE117" s="207">
        <v>189551.18871523268</v>
      </c>
      <c r="CF117" s="207">
        <v>-716112.6497372176</v>
      </c>
      <c r="CG117" s="207">
        <v>356812.4865638165</v>
      </c>
      <c r="CH117" s="207">
        <v>468333.896963317</v>
      </c>
      <c r="CI117" s="207">
        <v>0</v>
      </c>
      <c r="CJ117" s="207">
        <v>3277494.5566067225</v>
      </c>
      <c r="CK117" s="207">
        <v>-676926</v>
      </c>
      <c r="CL117" s="207">
        <v>82008.51</v>
      </c>
      <c r="CM117" s="207">
        <v>157690.844</v>
      </c>
      <c r="CN117" s="207">
        <v>-75682.33400000002</v>
      </c>
      <c r="CO117" s="207">
        <v>13048987.097602323</v>
      </c>
      <c r="CP117" s="207">
        <v>15198244.473198952</v>
      </c>
      <c r="CQ117" s="207">
        <v>8051</v>
      </c>
    </row>
    <row r="118" spans="1:95" ht="11.25">
      <c r="A118" s="207">
        <v>400</v>
      </c>
      <c r="B118" s="207" t="s">
        <v>175</v>
      </c>
      <c r="C118" s="207">
        <v>8647</v>
      </c>
      <c r="D118" s="207">
        <v>31371192.17</v>
      </c>
      <c r="E118" s="207">
        <v>10673928.586802198</v>
      </c>
      <c r="F118" s="207">
        <v>2294934.5833664555</v>
      </c>
      <c r="G118" s="207">
        <v>44340055.340168655</v>
      </c>
      <c r="H118" s="207">
        <v>3664.46</v>
      </c>
      <c r="I118" s="207">
        <v>31686585.62</v>
      </c>
      <c r="J118" s="207">
        <v>12653469.720168654</v>
      </c>
      <c r="K118" s="207">
        <v>337842.44189119653</v>
      </c>
      <c r="L118" s="207">
        <v>-708607.5665460778</v>
      </c>
      <c r="M118" s="207">
        <v>0</v>
      </c>
      <c r="N118" s="207">
        <v>12282704.595513772</v>
      </c>
      <c r="O118" s="207">
        <v>4786090.462665658</v>
      </c>
      <c r="P118" s="207">
        <v>17068795.05817943</v>
      </c>
      <c r="Q118" s="207">
        <v>549</v>
      </c>
      <c r="R118" s="207">
        <v>103</v>
      </c>
      <c r="S118" s="207">
        <v>613</v>
      </c>
      <c r="T118" s="207">
        <v>288</v>
      </c>
      <c r="U118" s="207">
        <v>293</v>
      </c>
      <c r="V118" s="207">
        <v>4755</v>
      </c>
      <c r="W118" s="207">
        <v>1134</v>
      </c>
      <c r="X118" s="207">
        <v>637</v>
      </c>
      <c r="Y118" s="207">
        <v>275</v>
      </c>
      <c r="Z118" s="207">
        <v>36</v>
      </c>
      <c r="AA118" s="207">
        <v>0</v>
      </c>
      <c r="AB118" s="207">
        <v>8027</v>
      </c>
      <c r="AC118" s="207">
        <v>584</v>
      </c>
      <c r="AD118" s="207">
        <v>2046</v>
      </c>
      <c r="AE118" s="481">
        <v>1.0448248355254643</v>
      </c>
      <c r="AF118" s="207">
        <v>10673928.586802198</v>
      </c>
      <c r="AG118" s="207" t="e">
        <v>#DIV/0!</v>
      </c>
      <c r="AH118" s="207" t="e">
        <v>#DIV/0!</v>
      </c>
      <c r="AI118" s="207" t="e">
        <v>#DIV/0!</v>
      </c>
      <c r="AJ118" s="175">
        <v>179</v>
      </c>
      <c r="AK118" s="175">
        <v>3907</v>
      </c>
      <c r="AL118" s="175">
        <v>0.469606239527497</v>
      </c>
      <c r="AM118" s="175">
        <v>584</v>
      </c>
      <c r="AN118" s="175">
        <v>0.06753787440730889</v>
      </c>
      <c r="AO118" s="175">
        <v>0.0642567952968459</v>
      </c>
      <c r="AP118" s="175">
        <v>0</v>
      </c>
      <c r="AQ118" s="175">
        <v>36</v>
      </c>
      <c r="AR118" s="175">
        <v>0</v>
      </c>
      <c r="AS118" s="175">
        <v>0</v>
      </c>
      <c r="AT118" s="175">
        <v>0</v>
      </c>
      <c r="AU118" s="175">
        <v>531.61</v>
      </c>
      <c r="AV118" s="175">
        <v>16.26568348977634</v>
      </c>
      <c r="AW118" s="175">
        <v>1.1158782323731757</v>
      </c>
      <c r="AX118" s="175">
        <v>479</v>
      </c>
      <c r="AY118" s="175">
        <v>2604</v>
      </c>
      <c r="AZ118" s="175">
        <v>0.18394777265745008</v>
      </c>
      <c r="BA118" s="175">
        <v>0.12276393657321558</v>
      </c>
      <c r="BB118" s="175">
        <v>0</v>
      </c>
      <c r="BC118" s="207">
        <v>3559</v>
      </c>
      <c r="BD118" s="175">
        <v>3545</v>
      </c>
      <c r="BE118" s="175">
        <v>1.0039492242595205</v>
      </c>
      <c r="BF118" s="175">
        <v>0.5950423416684274</v>
      </c>
      <c r="BG118" s="175">
        <v>0</v>
      </c>
      <c r="BH118" s="175">
        <v>0</v>
      </c>
      <c r="BI118" s="207">
        <v>0</v>
      </c>
      <c r="BJ118" s="207">
        <v>-2075.2799999999997</v>
      </c>
      <c r="BK118" s="207">
        <v>-35452.7</v>
      </c>
      <c r="BL118" s="207">
        <v>-2421.1600000000003</v>
      </c>
      <c r="BM118" s="207">
        <v>0</v>
      </c>
      <c r="BN118" s="207">
        <v>0</v>
      </c>
      <c r="BO118" s="207">
        <v>-34740</v>
      </c>
      <c r="BP118" s="207">
        <v>-147476.17186072638</v>
      </c>
      <c r="BQ118" s="207">
        <v>-368016.32</v>
      </c>
      <c r="BR118" s="207">
        <v>84422.16206699982</v>
      </c>
      <c r="BS118" s="207">
        <v>739591</v>
      </c>
      <c r="BT118" s="207">
        <v>245424</v>
      </c>
      <c r="BU118" s="207">
        <v>599915.1630202786</v>
      </c>
      <c r="BV118" s="207">
        <v>28362.25053418359</v>
      </c>
      <c r="BW118" s="207">
        <v>66734.71021022498</v>
      </c>
      <c r="BX118" s="207">
        <v>271181.82292428904</v>
      </c>
      <c r="BY118" s="207">
        <v>489938.90179089195</v>
      </c>
      <c r="BZ118" s="207">
        <v>793644.9780317354</v>
      </c>
      <c r="CA118" s="207">
        <v>232345.14997021123</v>
      </c>
      <c r="CB118" s="207">
        <v>403381.89974042116</v>
      </c>
      <c r="CC118" s="207">
        <v>778.23</v>
      </c>
      <c r="CD118" s="207">
        <v>-68194.11536266029</v>
      </c>
      <c r="CE118" s="207">
        <v>380267.4953146483</v>
      </c>
      <c r="CF118" s="207">
        <v>-708607.5665460778</v>
      </c>
      <c r="CG118" s="207">
        <v>389440.6886103088</v>
      </c>
      <c r="CH118" s="207">
        <v>553054.6689339742</v>
      </c>
      <c r="CI118" s="207">
        <v>0</v>
      </c>
      <c r="CJ118" s="207">
        <v>4786090.462665658</v>
      </c>
      <c r="CK118" s="207">
        <v>392474</v>
      </c>
      <c r="CL118" s="207">
        <v>377661.80000000005</v>
      </c>
      <c r="CM118" s="207">
        <v>61421.17</v>
      </c>
      <c r="CN118" s="207">
        <v>316240.63000000006</v>
      </c>
      <c r="CO118" s="207">
        <v>17461269.05817943</v>
      </c>
      <c r="CP118" s="207">
        <v>19816873.681423843</v>
      </c>
      <c r="CQ118" s="207">
        <v>8610</v>
      </c>
    </row>
    <row r="119" spans="1:95" ht="11.25">
      <c r="A119" s="207">
        <v>407</v>
      </c>
      <c r="B119" s="207" t="s">
        <v>176</v>
      </c>
      <c r="C119" s="207">
        <v>2665</v>
      </c>
      <c r="D119" s="207">
        <v>10120008.540000001</v>
      </c>
      <c r="E119" s="207">
        <v>3388846.119019211</v>
      </c>
      <c r="F119" s="207">
        <v>1156983.79918209</v>
      </c>
      <c r="G119" s="207">
        <v>14665838.4582013</v>
      </c>
      <c r="H119" s="207">
        <v>3664.46</v>
      </c>
      <c r="I119" s="207">
        <v>9765785.9</v>
      </c>
      <c r="J119" s="207">
        <v>4900052.5582013</v>
      </c>
      <c r="K119" s="207">
        <v>66710.70504225894</v>
      </c>
      <c r="L119" s="207">
        <v>-232976.59717887704</v>
      </c>
      <c r="M119" s="207">
        <v>0</v>
      </c>
      <c r="N119" s="207">
        <v>4733786.6660646815</v>
      </c>
      <c r="O119" s="207">
        <v>1868464.582989373</v>
      </c>
      <c r="P119" s="207">
        <v>6602251.249054055</v>
      </c>
      <c r="Q119" s="207">
        <v>138</v>
      </c>
      <c r="R119" s="207">
        <v>17</v>
      </c>
      <c r="S119" s="207">
        <v>185</v>
      </c>
      <c r="T119" s="207">
        <v>84</v>
      </c>
      <c r="U119" s="207">
        <v>79</v>
      </c>
      <c r="V119" s="207">
        <v>1387</v>
      </c>
      <c r="W119" s="207">
        <v>433</v>
      </c>
      <c r="X119" s="207">
        <v>217</v>
      </c>
      <c r="Y119" s="207">
        <v>125</v>
      </c>
      <c r="Z119" s="207">
        <v>819</v>
      </c>
      <c r="AA119" s="207">
        <v>0</v>
      </c>
      <c r="AB119" s="207">
        <v>1710</v>
      </c>
      <c r="AC119" s="207">
        <v>136</v>
      </c>
      <c r="AD119" s="207">
        <v>775</v>
      </c>
      <c r="AE119" s="481">
        <v>1.076314742193751</v>
      </c>
      <c r="AF119" s="207">
        <v>3388846.119019211</v>
      </c>
      <c r="AG119" s="207" t="e">
        <v>#DIV/0!</v>
      </c>
      <c r="AH119" s="207" t="e">
        <v>#DIV/0!</v>
      </c>
      <c r="AI119" s="207" t="e">
        <v>#DIV/0!</v>
      </c>
      <c r="AJ119" s="175">
        <v>99</v>
      </c>
      <c r="AK119" s="175">
        <v>1237</v>
      </c>
      <c r="AL119" s="175">
        <v>0.8203321525115239</v>
      </c>
      <c r="AM119" s="175">
        <v>136</v>
      </c>
      <c r="AN119" s="175">
        <v>0.05103189493433396</v>
      </c>
      <c r="AO119" s="175">
        <v>0.04775081582387096</v>
      </c>
      <c r="AP119" s="175">
        <v>1</v>
      </c>
      <c r="AQ119" s="175">
        <v>819</v>
      </c>
      <c r="AR119" s="175">
        <v>0</v>
      </c>
      <c r="AS119" s="175">
        <v>0</v>
      </c>
      <c r="AT119" s="175">
        <v>0</v>
      </c>
      <c r="AU119" s="175">
        <v>329.88</v>
      </c>
      <c r="AV119" s="175">
        <v>8.07869528313326</v>
      </c>
      <c r="AW119" s="175">
        <v>2.2467145380279314</v>
      </c>
      <c r="AX119" s="175">
        <v>193</v>
      </c>
      <c r="AY119" s="175">
        <v>799</v>
      </c>
      <c r="AZ119" s="175">
        <v>0.24155193992490614</v>
      </c>
      <c r="BA119" s="175">
        <v>0.18036810384067165</v>
      </c>
      <c r="BB119" s="175">
        <v>0</v>
      </c>
      <c r="BC119" s="207">
        <v>866</v>
      </c>
      <c r="BD119" s="175">
        <v>1096</v>
      </c>
      <c r="BE119" s="175">
        <v>0.7901459854014599</v>
      </c>
      <c r="BF119" s="175">
        <v>0.38123910281036677</v>
      </c>
      <c r="BG119" s="175">
        <v>0</v>
      </c>
      <c r="BH119" s="175">
        <v>0</v>
      </c>
      <c r="BI119" s="207">
        <v>0</v>
      </c>
      <c r="BJ119" s="207">
        <v>-639.6</v>
      </c>
      <c r="BK119" s="207">
        <v>-10926.499999999998</v>
      </c>
      <c r="BL119" s="207">
        <v>-746.2</v>
      </c>
      <c r="BM119" s="207">
        <v>0</v>
      </c>
      <c r="BN119" s="207">
        <v>0</v>
      </c>
      <c r="BO119" s="207">
        <v>-44318</v>
      </c>
      <c r="BP119" s="207">
        <v>-83031.22620208118</v>
      </c>
      <c r="BQ119" s="207">
        <v>-113422.40000000001</v>
      </c>
      <c r="BR119" s="207">
        <v>28807.877030804753</v>
      </c>
      <c r="BS119" s="207">
        <v>266070</v>
      </c>
      <c r="BT119" s="207">
        <v>86843</v>
      </c>
      <c r="BU119" s="207">
        <v>215737.08744909434</v>
      </c>
      <c r="BV119" s="207">
        <v>10073.129408609553</v>
      </c>
      <c r="BW119" s="207">
        <v>43753.06037410913</v>
      </c>
      <c r="BX119" s="207">
        <v>86084.27444925872</v>
      </c>
      <c r="BY119" s="207">
        <v>157534.1649968356</v>
      </c>
      <c r="BZ119" s="207">
        <v>288427.1364173449</v>
      </c>
      <c r="CA119" s="207">
        <v>80419.06926967647</v>
      </c>
      <c r="CB119" s="207">
        <v>136460.939309663</v>
      </c>
      <c r="CC119" s="207">
        <v>239.85</v>
      </c>
      <c r="CD119" s="207">
        <v>24014.387066761647</v>
      </c>
      <c r="CE119" s="207">
        <v>140193.17902320414</v>
      </c>
      <c r="CF119" s="207">
        <v>-232976.59717887704</v>
      </c>
      <c r="CG119" s="207">
        <v>128810.71492563772</v>
      </c>
      <c r="CH119" s="207">
        <v>191038.54503986708</v>
      </c>
      <c r="CI119" s="207">
        <v>0</v>
      </c>
      <c r="CJ119" s="207">
        <v>1868464.582989373</v>
      </c>
      <c r="CK119" s="207">
        <v>-524545</v>
      </c>
      <c r="CL119" s="207">
        <v>118888.48</v>
      </c>
      <c r="CM119" s="207">
        <v>944427.1799999999</v>
      </c>
      <c r="CN119" s="207">
        <v>-825538.7</v>
      </c>
      <c r="CO119" s="207">
        <v>6077706.249054055</v>
      </c>
      <c r="CP119" s="207">
        <v>7137275.66777786</v>
      </c>
      <c r="CQ119" s="207">
        <v>2706</v>
      </c>
    </row>
    <row r="120" spans="1:95" ht="11.25">
      <c r="A120" s="207">
        <v>402</v>
      </c>
      <c r="B120" s="207" t="s">
        <v>177</v>
      </c>
      <c r="C120" s="207">
        <v>9617</v>
      </c>
      <c r="D120" s="207">
        <v>34894789.64</v>
      </c>
      <c r="E120" s="207">
        <v>16771328.153649237</v>
      </c>
      <c r="F120" s="207">
        <v>2365242.544392176</v>
      </c>
      <c r="G120" s="207">
        <v>54031360.33804142</v>
      </c>
      <c r="H120" s="207">
        <v>3664.46</v>
      </c>
      <c r="I120" s="207">
        <v>35241111.82</v>
      </c>
      <c r="J120" s="207">
        <v>18790248.518041417</v>
      </c>
      <c r="K120" s="207">
        <v>268840.5074560203</v>
      </c>
      <c r="L120" s="207">
        <v>-599849.7457113981</v>
      </c>
      <c r="M120" s="207">
        <v>0</v>
      </c>
      <c r="N120" s="207">
        <v>18459239.27978604</v>
      </c>
      <c r="O120" s="207">
        <v>8611884.838225493</v>
      </c>
      <c r="P120" s="207">
        <v>27071124.118011534</v>
      </c>
      <c r="Q120" s="207">
        <v>459</v>
      </c>
      <c r="R120" s="207">
        <v>115</v>
      </c>
      <c r="S120" s="207">
        <v>685</v>
      </c>
      <c r="T120" s="207">
        <v>338</v>
      </c>
      <c r="U120" s="207">
        <v>342</v>
      </c>
      <c r="V120" s="207">
        <v>5096</v>
      </c>
      <c r="W120" s="207">
        <v>1493</v>
      </c>
      <c r="X120" s="207">
        <v>763</v>
      </c>
      <c r="Y120" s="207">
        <v>326</v>
      </c>
      <c r="Z120" s="207">
        <v>11</v>
      </c>
      <c r="AA120" s="207">
        <v>0</v>
      </c>
      <c r="AB120" s="207">
        <v>9428</v>
      </c>
      <c r="AC120" s="207">
        <v>178</v>
      </c>
      <c r="AD120" s="207">
        <v>2582</v>
      </c>
      <c r="AE120" s="481">
        <v>1.4760888302971462</v>
      </c>
      <c r="AF120" s="207">
        <v>16771328.153649237</v>
      </c>
      <c r="AG120" s="207" t="e">
        <v>#DIV/0!</v>
      </c>
      <c r="AH120" s="207" t="e">
        <v>#DIV/0!</v>
      </c>
      <c r="AI120" s="207" t="e">
        <v>#DIV/0!</v>
      </c>
      <c r="AJ120" s="175">
        <v>451</v>
      </c>
      <c r="AK120" s="175">
        <v>4286</v>
      </c>
      <c r="AL120" s="175">
        <v>1.0785706895558396</v>
      </c>
      <c r="AM120" s="175">
        <v>178</v>
      </c>
      <c r="AN120" s="175">
        <v>0.018508890506394926</v>
      </c>
      <c r="AO120" s="175">
        <v>0.01522781139593193</v>
      </c>
      <c r="AP120" s="175">
        <v>0</v>
      </c>
      <c r="AQ120" s="175">
        <v>11</v>
      </c>
      <c r="AR120" s="175">
        <v>0</v>
      </c>
      <c r="AS120" s="175">
        <v>0</v>
      </c>
      <c r="AT120" s="175">
        <v>0</v>
      </c>
      <c r="AU120" s="175">
        <v>1096.59</v>
      </c>
      <c r="AV120" s="175">
        <v>8.769914006146328</v>
      </c>
      <c r="AW120" s="175">
        <v>2.069635133046061</v>
      </c>
      <c r="AX120" s="175">
        <v>400</v>
      </c>
      <c r="AY120" s="175">
        <v>2768</v>
      </c>
      <c r="AZ120" s="175">
        <v>0.14450867052023122</v>
      </c>
      <c r="BA120" s="175">
        <v>0.08332483443599673</v>
      </c>
      <c r="BB120" s="175">
        <v>0</v>
      </c>
      <c r="BC120" s="207">
        <v>3049</v>
      </c>
      <c r="BD120" s="175">
        <v>3653</v>
      </c>
      <c r="BE120" s="175">
        <v>0.8346564467560909</v>
      </c>
      <c r="BF120" s="175">
        <v>0.42574956416499776</v>
      </c>
      <c r="BG120" s="175">
        <v>0</v>
      </c>
      <c r="BH120" s="175">
        <v>0</v>
      </c>
      <c r="BI120" s="207">
        <v>0</v>
      </c>
      <c r="BJ120" s="207">
        <v>-2308.08</v>
      </c>
      <c r="BK120" s="207">
        <v>-39429.7</v>
      </c>
      <c r="BL120" s="207">
        <v>-2692.76</v>
      </c>
      <c r="BM120" s="207">
        <v>0</v>
      </c>
      <c r="BN120" s="207">
        <v>0</v>
      </c>
      <c r="BO120" s="207">
        <v>244217</v>
      </c>
      <c r="BP120" s="207">
        <v>-281166.0402826824</v>
      </c>
      <c r="BQ120" s="207">
        <v>-409299.52</v>
      </c>
      <c r="BR120" s="207">
        <v>-103708.25441498868</v>
      </c>
      <c r="BS120" s="207">
        <v>958412</v>
      </c>
      <c r="BT120" s="207">
        <v>288726</v>
      </c>
      <c r="BU120" s="207">
        <v>687361.0736377841</v>
      </c>
      <c r="BV120" s="207">
        <v>29107.534124884838</v>
      </c>
      <c r="BW120" s="207">
        <v>88418.25418264151</v>
      </c>
      <c r="BX120" s="207">
        <v>332831.1518768048</v>
      </c>
      <c r="BY120" s="207">
        <v>530175.9507121128</v>
      </c>
      <c r="BZ120" s="207">
        <v>829064.5310967282</v>
      </c>
      <c r="CA120" s="207">
        <v>247037.21744427693</v>
      </c>
      <c r="CB120" s="207">
        <v>448973.02594657306</v>
      </c>
      <c r="CC120" s="207">
        <v>865.53</v>
      </c>
      <c r="CD120" s="207">
        <v>102864.12525654309</v>
      </c>
      <c r="CE120" s="207">
        <v>728319.0845712845</v>
      </c>
      <c r="CF120" s="207">
        <v>-599849.7457113981</v>
      </c>
      <c r="CG120" s="207">
        <v>474559.8537297301</v>
      </c>
      <c r="CH120" s="207">
        <v>637802.028777637</v>
      </c>
      <c r="CI120" s="207">
        <v>0</v>
      </c>
      <c r="CJ120" s="207">
        <v>8611884.838225493</v>
      </c>
      <c r="CK120" s="207">
        <v>-397858</v>
      </c>
      <c r="CL120" s="207">
        <v>332805.94</v>
      </c>
      <c r="CM120" s="207">
        <v>211463.34000000003</v>
      </c>
      <c r="CN120" s="207">
        <v>121342.59999999998</v>
      </c>
      <c r="CO120" s="207">
        <v>26673266.118011534</v>
      </c>
      <c r="CP120" s="207">
        <v>29363219.365062118</v>
      </c>
      <c r="CQ120" s="207">
        <v>9692</v>
      </c>
    </row>
    <row r="121" spans="1:95" ht="11.25">
      <c r="A121" s="207">
        <v>403</v>
      </c>
      <c r="B121" s="207" t="s">
        <v>178</v>
      </c>
      <c r="C121" s="207">
        <v>3078</v>
      </c>
      <c r="D121" s="207">
        <v>11980766.91</v>
      </c>
      <c r="E121" s="207">
        <v>5650088.285035024</v>
      </c>
      <c r="F121" s="207">
        <v>825446.095689155</v>
      </c>
      <c r="G121" s="207">
        <v>18456301.29072418</v>
      </c>
      <c r="H121" s="207">
        <v>3664.46</v>
      </c>
      <c r="I121" s="207">
        <v>11279207.88</v>
      </c>
      <c r="J121" s="207">
        <v>7177093.41072418</v>
      </c>
      <c r="K121" s="207">
        <v>107615.3509246029</v>
      </c>
      <c r="L121" s="207">
        <v>-219257.98198349963</v>
      </c>
      <c r="M121" s="207">
        <v>0</v>
      </c>
      <c r="N121" s="207">
        <v>7065450.779665283</v>
      </c>
      <c r="O121" s="207">
        <v>2948184.9014597177</v>
      </c>
      <c r="P121" s="207">
        <v>10013635.681125</v>
      </c>
      <c r="Q121" s="207">
        <v>161</v>
      </c>
      <c r="R121" s="207">
        <v>37</v>
      </c>
      <c r="S121" s="207">
        <v>181</v>
      </c>
      <c r="T121" s="207">
        <v>80</v>
      </c>
      <c r="U121" s="207">
        <v>107</v>
      </c>
      <c r="V121" s="207">
        <v>1488</v>
      </c>
      <c r="W121" s="207">
        <v>549</v>
      </c>
      <c r="X121" s="207">
        <v>324</v>
      </c>
      <c r="Y121" s="207">
        <v>151</v>
      </c>
      <c r="Z121" s="207">
        <v>13</v>
      </c>
      <c r="AA121" s="207">
        <v>0</v>
      </c>
      <c r="AB121" s="207">
        <v>2918</v>
      </c>
      <c r="AC121" s="207">
        <v>147</v>
      </c>
      <c r="AD121" s="207">
        <v>1024</v>
      </c>
      <c r="AE121" s="481">
        <v>1.553714689542001</v>
      </c>
      <c r="AF121" s="207">
        <v>5650088.285035024</v>
      </c>
      <c r="AG121" s="207" t="e">
        <v>#DIV/0!</v>
      </c>
      <c r="AH121" s="207" t="e">
        <v>#DIV/0!</v>
      </c>
      <c r="AI121" s="207" t="e">
        <v>#DIV/0!</v>
      </c>
      <c r="AJ121" s="175">
        <v>73</v>
      </c>
      <c r="AK121" s="175">
        <v>1259</v>
      </c>
      <c r="AL121" s="175">
        <v>0.5943214006943391</v>
      </c>
      <c r="AM121" s="175">
        <v>147</v>
      </c>
      <c r="AN121" s="175">
        <v>0.04775828460038986</v>
      </c>
      <c r="AO121" s="175">
        <v>0.04447720548992686</v>
      </c>
      <c r="AP121" s="175">
        <v>0</v>
      </c>
      <c r="AQ121" s="175">
        <v>13</v>
      </c>
      <c r="AR121" s="175">
        <v>0</v>
      </c>
      <c r="AS121" s="175">
        <v>0</v>
      </c>
      <c r="AT121" s="175">
        <v>0</v>
      </c>
      <c r="AU121" s="175">
        <v>420.81</v>
      </c>
      <c r="AV121" s="175">
        <v>7.314464960433449</v>
      </c>
      <c r="AW121" s="175">
        <v>2.4814558876275736</v>
      </c>
      <c r="AX121" s="175">
        <v>89</v>
      </c>
      <c r="AY121" s="175">
        <v>712</v>
      </c>
      <c r="AZ121" s="175">
        <v>0.125</v>
      </c>
      <c r="BA121" s="175">
        <v>0.0638161639157655</v>
      </c>
      <c r="BB121" s="175">
        <v>0</v>
      </c>
      <c r="BC121" s="207">
        <v>1044</v>
      </c>
      <c r="BD121" s="175">
        <v>1109</v>
      </c>
      <c r="BE121" s="175">
        <v>0.9413886384129847</v>
      </c>
      <c r="BF121" s="175">
        <v>0.5324817558218916</v>
      </c>
      <c r="BG121" s="175">
        <v>0</v>
      </c>
      <c r="BH121" s="175">
        <v>0</v>
      </c>
      <c r="BI121" s="207">
        <v>0</v>
      </c>
      <c r="BJ121" s="207">
        <v>-738.72</v>
      </c>
      <c r="BK121" s="207">
        <v>-12619.8</v>
      </c>
      <c r="BL121" s="207">
        <v>-861.84</v>
      </c>
      <c r="BM121" s="207">
        <v>0</v>
      </c>
      <c r="BN121" s="207">
        <v>0</v>
      </c>
      <c r="BO121" s="207">
        <v>-43921</v>
      </c>
      <c r="BP121" s="207">
        <v>-18622.914037204544</v>
      </c>
      <c r="BQ121" s="207">
        <v>-130999.68000000001</v>
      </c>
      <c r="BR121" s="207">
        <v>48930.923893926665</v>
      </c>
      <c r="BS121" s="207">
        <v>344633</v>
      </c>
      <c r="BT121" s="207">
        <v>101443</v>
      </c>
      <c r="BU121" s="207">
        <v>292774.96621069574</v>
      </c>
      <c r="BV121" s="207">
        <v>17263.521425798896</v>
      </c>
      <c r="BW121" s="207">
        <v>43252.75609648673</v>
      </c>
      <c r="BX121" s="207">
        <v>132095.14889464315</v>
      </c>
      <c r="BY121" s="207">
        <v>189115.0652921132</v>
      </c>
      <c r="BZ121" s="207">
        <v>300305.9793463635</v>
      </c>
      <c r="CA121" s="207">
        <v>92165.83359087528</v>
      </c>
      <c r="CB121" s="207">
        <v>155718.07021177432</v>
      </c>
      <c r="CC121" s="207">
        <v>277.02</v>
      </c>
      <c r="CD121" s="207">
        <v>-35969.89130522375</v>
      </c>
      <c r="CE121" s="207">
        <v>134466.79205370494</v>
      </c>
      <c r="CF121" s="207">
        <v>-219257.98198349963</v>
      </c>
      <c r="CG121" s="207">
        <v>162102.51946500203</v>
      </c>
      <c r="CH121" s="207">
        <v>217160.41569854118</v>
      </c>
      <c r="CI121" s="207">
        <v>0</v>
      </c>
      <c r="CJ121" s="207">
        <v>2948184.9014597177</v>
      </c>
      <c r="CK121" s="207">
        <v>-163228</v>
      </c>
      <c r="CL121" s="207">
        <v>10907.2</v>
      </c>
      <c r="CM121" s="207">
        <v>49082.4</v>
      </c>
      <c r="CN121" s="207">
        <v>-38175.2</v>
      </c>
      <c r="CO121" s="207">
        <v>9850407.681125</v>
      </c>
      <c r="CP121" s="207">
        <v>10929195.798850203</v>
      </c>
      <c r="CQ121" s="207">
        <v>3140</v>
      </c>
    </row>
    <row r="122" spans="1:95" ht="11.25">
      <c r="A122" s="207">
        <v>405</v>
      </c>
      <c r="B122" s="207" t="s">
        <v>179</v>
      </c>
      <c r="C122" s="207">
        <v>72699</v>
      </c>
      <c r="D122" s="207">
        <v>244745519.47000003</v>
      </c>
      <c r="E122" s="207">
        <v>87076742.88358611</v>
      </c>
      <c r="F122" s="207">
        <v>21161866.85283821</v>
      </c>
      <c r="G122" s="207">
        <v>352984129.20642436</v>
      </c>
      <c r="H122" s="207">
        <v>3664.46</v>
      </c>
      <c r="I122" s="207">
        <v>266402577.54</v>
      </c>
      <c r="J122" s="207">
        <v>86581551.66642436</v>
      </c>
      <c r="K122" s="207">
        <v>3232578.1927601206</v>
      </c>
      <c r="L122" s="207">
        <v>-8339970.801878102</v>
      </c>
      <c r="M122" s="207">
        <v>0</v>
      </c>
      <c r="N122" s="207">
        <v>81474159.05730638</v>
      </c>
      <c r="O122" s="207">
        <v>16775281.72258758</v>
      </c>
      <c r="P122" s="207">
        <v>98249440.77989396</v>
      </c>
      <c r="Q122" s="207">
        <v>3777</v>
      </c>
      <c r="R122" s="207">
        <v>718</v>
      </c>
      <c r="S122" s="207">
        <v>4409</v>
      </c>
      <c r="T122" s="207">
        <v>2081</v>
      </c>
      <c r="U122" s="207">
        <v>2233</v>
      </c>
      <c r="V122" s="207">
        <v>42535</v>
      </c>
      <c r="W122" s="207">
        <v>9473</v>
      </c>
      <c r="X122" s="207">
        <v>5223</v>
      </c>
      <c r="Y122" s="207">
        <v>2250</v>
      </c>
      <c r="Z122" s="207">
        <v>128</v>
      </c>
      <c r="AA122" s="207">
        <v>1</v>
      </c>
      <c r="AB122" s="207">
        <v>67164</v>
      </c>
      <c r="AC122" s="207">
        <v>5406</v>
      </c>
      <c r="AD122" s="207">
        <v>16946</v>
      </c>
      <c r="AE122" s="481">
        <v>1.0138142520347835</v>
      </c>
      <c r="AF122" s="207">
        <v>87076742.88358611</v>
      </c>
      <c r="AG122" s="207" t="e">
        <v>#DIV/0!</v>
      </c>
      <c r="AH122" s="207" t="e">
        <v>#DIV/0!</v>
      </c>
      <c r="AI122" s="207" t="e">
        <v>#DIV/0!</v>
      </c>
      <c r="AJ122" s="175">
        <v>3912</v>
      </c>
      <c r="AK122" s="175">
        <v>34327</v>
      </c>
      <c r="AL122" s="175">
        <v>1.1681193953204152</v>
      </c>
      <c r="AM122" s="175">
        <v>5406</v>
      </c>
      <c r="AN122" s="175">
        <v>0.07436140799735898</v>
      </c>
      <c r="AO122" s="175">
        <v>0.07108032888689599</v>
      </c>
      <c r="AP122" s="175">
        <v>0</v>
      </c>
      <c r="AQ122" s="175">
        <v>128</v>
      </c>
      <c r="AR122" s="175">
        <v>1</v>
      </c>
      <c r="AS122" s="175">
        <v>0</v>
      </c>
      <c r="AT122" s="175">
        <v>0</v>
      </c>
      <c r="AU122" s="175">
        <v>1433.78</v>
      </c>
      <c r="AV122" s="175">
        <v>50.70443164223242</v>
      </c>
      <c r="AW122" s="175">
        <v>0.3579671747231528</v>
      </c>
      <c r="AX122" s="175">
        <v>2874</v>
      </c>
      <c r="AY122" s="175">
        <v>22017</v>
      </c>
      <c r="AZ122" s="175">
        <v>0.13053549529908706</v>
      </c>
      <c r="BA122" s="175">
        <v>0.06935165921485256</v>
      </c>
      <c r="BB122" s="175">
        <v>0</v>
      </c>
      <c r="BC122" s="207">
        <v>31116</v>
      </c>
      <c r="BD122" s="175">
        <v>28649</v>
      </c>
      <c r="BE122" s="175">
        <v>1.0861112080700897</v>
      </c>
      <c r="BF122" s="175">
        <v>0.6772043254789966</v>
      </c>
      <c r="BG122" s="175">
        <v>0</v>
      </c>
      <c r="BH122" s="175">
        <v>1</v>
      </c>
      <c r="BI122" s="207">
        <v>0</v>
      </c>
      <c r="BJ122" s="207">
        <v>-17447.76</v>
      </c>
      <c r="BK122" s="207">
        <v>-298065.89999999997</v>
      </c>
      <c r="BL122" s="207">
        <v>-20355.72</v>
      </c>
      <c r="BM122" s="207">
        <v>0</v>
      </c>
      <c r="BN122" s="207">
        <v>0</v>
      </c>
      <c r="BO122" s="207">
        <v>339710</v>
      </c>
      <c r="BP122" s="207">
        <v>-5093224.841903263</v>
      </c>
      <c r="BQ122" s="207">
        <v>-3094069.44</v>
      </c>
      <c r="BR122" s="207">
        <v>997030.4585953057</v>
      </c>
      <c r="BS122" s="207">
        <v>5098431</v>
      </c>
      <c r="BT122" s="207">
        <v>1727824</v>
      </c>
      <c r="BU122" s="207">
        <v>4014176.8117610975</v>
      </c>
      <c r="BV122" s="207">
        <v>165037.3374035371</v>
      </c>
      <c r="BW122" s="207">
        <v>403872.2532490542</v>
      </c>
      <c r="BX122" s="207">
        <v>1978357.3557773354</v>
      </c>
      <c r="BY122" s="207">
        <v>3604287.803340834</v>
      </c>
      <c r="BZ122" s="207">
        <v>5400271.836280328</v>
      </c>
      <c r="CA122" s="207">
        <v>1799754.4576979543</v>
      </c>
      <c r="CB122" s="207">
        <v>3080522.5380868055</v>
      </c>
      <c r="CC122" s="207">
        <v>6542.91</v>
      </c>
      <c r="CD122" s="207">
        <v>152463.40178400092</v>
      </c>
      <c r="CE122" s="207">
        <v>4667994.170025161</v>
      </c>
      <c r="CF122" s="207">
        <v>-8339970.801878102</v>
      </c>
      <c r="CG122" s="207">
        <v>3100275.3896458545</v>
      </c>
      <c r="CH122" s="207">
        <v>4191571.019662887</v>
      </c>
      <c r="CI122" s="207">
        <v>0</v>
      </c>
      <c r="CJ122" s="207">
        <v>16775281.72258758</v>
      </c>
      <c r="CK122" s="207">
        <v>-5829886</v>
      </c>
      <c r="CL122" s="207">
        <v>851102.4500000001</v>
      </c>
      <c r="CM122" s="207">
        <v>2832527.5798</v>
      </c>
      <c r="CN122" s="207">
        <v>-1981425.1297999998</v>
      </c>
      <c r="CO122" s="207">
        <v>92419554.77989396</v>
      </c>
      <c r="CP122" s="207">
        <v>106916671.84675081</v>
      </c>
      <c r="CQ122" s="207">
        <v>72909</v>
      </c>
    </row>
    <row r="123" spans="1:95" ht="11.25">
      <c r="A123" s="207">
        <v>408</v>
      </c>
      <c r="B123" s="207" t="s">
        <v>180</v>
      </c>
      <c r="C123" s="207">
        <v>14427</v>
      </c>
      <c r="D123" s="207">
        <v>55355051.95</v>
      </c>
      <c r="E123" s="207">
        <v>19442475.142025728</v>
      </c>
      <c r="F123" s="207">
        <v>2438191.0161841083</v>
      </c>
      <c r="G123" s="207">
        <v>77235718.10820983</v>
      </c>
      <c r="H123" s="207">
        <v>3664.46</v>
      </c>
      <c r="I123" s="207">
        <v>52867164.42</v>
      </c>
      <c r="J123" s="207">
        <v>24368553.68820983</v>
      </c>
      <c r="K123" s="207">
        <v>368370.57547165366</v>
      </c>
      <c r="L123" s="207">
        <v>-1275045.596600656</v>
      </c>
      <c r="M123" s="207">
        <v>0</v>
      </c>
      <c r="N123" s="207">
        <v>23461878.66708083</v>
      </c>
      <c r="O123" s="207">
        <v>9557066.483995687</v>
      </c>
      <c r="P123" s="207">
        <v>33018945.151076518</v>
      </c>
      <c r="Q123" s="207">
        <v>980</v>
      </c>
      <c r="R123" s="207">
        <v>189</v>
      </c>
      <c r="S123" s="207">
        <v>1118</v>
      </c>
      <c r="T123" s="207">
        <v>593</v>
      </c>
      <c r="U123" s="207">
        <v>530</v>
      </c>
      <c r="V123" s="207">
        <v>7631</v>
      </c>
      <c r="W123" s="207">
        <v>1888</v>
      </c>
      <c r="X123" s="207">
        <v>1010</v>
      </c>
      <c r="Y123" s="207">
        <v>488</v>
      </c>
      <c r="Z123" s="207">
        <v>21</v>
      </c>
      <c r="AA123" s="207">
        <v>0</v>
      </c>
      <c r="AB123" s="207">
        <v>14015</v>
      </c>
      <c r="AC123" s="207">
        <v>391</v>
      </c>
      <c r="AD123" s="207">
        <v>3386</v>
      </c>
      <c r="AE123" s="481">
        <v>1.1406704053437808</v>
      </c>
      <c r="AF123" s="207">
        <v>19442475.142025728</v>
      </c>
      <c r="AG123" s="207" t="e">
        <v>#DIV/0!</v>
      </c>
      <c r="AH123" s="207" t="e">
        <v>#DIV/0!</v>
      </c>
      <c r="AI123" s="207" t="e">
        <v>#DIV/0!</v>
      </c>
      <c r="AJ123" s="175">
        <v>456</v>
      </c>
      <c r="AK123" s="175">
        <v>6490</v>
      </c>
      <c r="AL123" s="175">
        <v>0.7201855191848848</v>
      </c>
      <c r="AM123" s="175">
        <v>391</v>
      </c>
      <c r="AN123" s="175">
        <v>0.027101961599778193</v>
      </c>
      <c r="AO123" s="175">
        <v>0.023820882489315198</v>
      </c>
      <c r="AP123" s="175">
        <v>0</v>
      </c>
      <c r="AQ123" s="175">
        <v>21</v>
      </c>
      <c r="AR123" s="175">
        <v>0</v>
      </c>
      <c r="AS123" s="175">
        <v>0</v>
      </c>
      <c r="AT123" s="175">
        <v>0</v>
      </c>
      <c r="AU123" s="175">
        <v>737.15</v>
      </c>
      <c r="AV123" s="175">
        <v>19.571321983314117</v>
      </c>
      <c r="AW123" s="175">
        <v>0.9274039922488488</v>
      </c>
      <c r="AX123" s="175">
        <v>466</v>
      </c>
      <c r="AY123" s="175">
        <v>4375</v>
      </c>
      <c r="AZ123" s="175">
        <v>0.10651428571428571</v>
      </c>
      <c r="BA123" s="175">
        <v>0.04533044963005122</v>
      </c>
      <c r="BB123" s="175">
        <v>0</v>
      </c>
      <c r="BC123" s="207">
        <v>4600</v>
      </c>
      <c r="BD123" s="175">
        <v>5766</v>
      </c>
      <c r="BE123" s="175">
        <v>0.7977800901838363</v>
      </c>
      <c r="BF123" s="175">
        <v>0.38887320759274324</v>
      </c>
      <c r="BG123" s="175">
        <v>0</v>
      </c>
      <c r="BH123" s="175">
        <v>0</v>
      </c>
      <c r="BI123" s="207">
        <v>0</v>
      </c>
      <c r="BJ123" s="207">
        <v>-3462.48</v>
      </c>
      <c r="BK123" s="207">
        <v>-59150.7</v>
      </c>
      <c r="BL123" s="207">
        <v>-4039.5600000000004</v>
      </c>
      <c r="BM123" s="207">
        <v>0</v>
      </c>
      <c r="BN123" s="207">
        <v>0</v>
      </c>
      <c r="BO123" s="207">
        <v>-265852</v>
      </c>
      <c r="BP123" s="207">
        <v>-460378.72599609895</v>
      </c>
      <c r="BQ123" s="207">
        <v>-614013.12</v>
      </c>
      <c r="BR123" s="207">
        <v>357807.1910356991</v>
      </c>
      <c r="BS123" s="207">
        <v>1158445</v>
      </c>
      <c r="BT123" s="207">
        <v>386915</v>
      </c>
      <c r="BU123" s="207">
        <v>964292.5946574889</v>
      </c>
      <c r="BV123" s="207">
        <v>40385.642318928454</v>
      </c>
      <c r="BW123" s="207">
        <v>123093.3811491682</v>
      </c>
      <c r="BX123" s="207">
        <v>419128.21563631925</v>
      </c>
      <c r="BY123" s="207">
        <v>779181.7214906423</v>
      </c>
      <c r="BZ123" s="207">
        <v>1226683.438706409</v>
      </c>
      <c r="CA123" s="207">
        <v>340504.40546555363</v>
      </c>
      <c r="CB123" s="207">
        <v>640987.2107160434</v>
      </c>
      <c r="CC123" s="207">
        <v>1298.43</v>
      </c>
      <c r="CD123" s="207">
        <v>-29900.497191731003</v>
      </c>
      <c r="CE123" s="207">
        <v>756000.6193954431</v>
      </c>
      <c r="CF123" s="207">
        <v>-1275045.596600656</v>
      </c>
      <c r="CG123" s="207">
        <v>678364.765551475</v>
      </c>
      <c r="CH123" s="207">
        <v>909136.9367805856</v>
      </c>
      <c r="CI123" s="207">
        <v>0</v>
      </c>
      <c r="CJ123" s="207">
        <v>9557066.483995687</v>
      </c>
      <c r="CK123" s="207">
        <v>-487484</v>
      </c>
      <c r="CL123" s="207">
        <v>143225.16999999998</v>
      </c>
      <c r="CM123" s="207">
        <v>167248.27800000002</v>
      </c>
      <c r="CN123" s="207">
        <v>-24023.108000000037</v>
      </c>
      <c r="CO123" s="207">
        <v>32531461.151076518</v>
      </c>
      <c r="CP123" s="207">
        <v>36231860.02822189</v>
      </c>
      <c r="CQ123" s="207">
        <v>14494</v>
      </c>
    </row>
    <row r="124" spans="1:95" ht="11.25">
      <c r="A124" s="207">
        <v>410</v>
      </c>
      <c r="B124" s="207" t="s">
        <v>181</v>
      </c>
      <c r="C124" s="207">
        <v>18927</v>
      </c>
      <c r="D124" s="207">
        <v>73053243.87</v>
      </c>
      <c r="E124" s="207">
        <v>20126195.116775736</v>
      </c>
      <c r="F124" s="207">
        <v>2834278.789705262</v>
      </c>
      <c r="G124" s="207">
        <v>96013717.776481</v>
      </c>
      <c r="H124" s="207">
        <v>3664.46</v>
      </c>
      <c r="I124" s="207">
        <v>69357234.42</v>
      </c>
      <c r="J124" s="207">
        <v>26656483.356481</v>
      </c>
      <c r="K124" s="207">
        <v>403124.1112856925</v>
      </c>
      <c r="L124" s="207">
        <v>-1958878.3193724018</v>
      </c>
      <c r="M124" s="207">
        <v>0</v>
      </c>
      <c r="N124" s="207">
        <v>25100729.148394294</v>
      </c>
      <c r="O124" s="207">
        <v>11264752.17447198</v>
      </c>
      <c r="P124" s="207">
        <v>36365481.322866276</v>
      </c>
      <c r="Q124" s="207">
        <v>1586</v>
      </c>
      <c r="R124" s="207">
        <v>321</v>
      </c>
      <c r="S124" s="207">
        <v>1842</v>
      </c>
      <c r="T124" s="207">
        <v>837</v>
      </c>
      <c r="U124" s="207">
        <v>706</v>
      </c>
      <c r="V124" s="207">
        <v>9949</v>
      </c>
      <c r="W124" s="207">
        <v>2198</v>
      </c>
      <c r="X124" s="207">
        <v>1074</v>
      </c>
      <c r="Y124" s="207">
        <v>414</v>
      </c>
      <c r="Z124" s="207">
        <v>23</v>
      </c>
      <c r="AA124" s="207">
        <v>2</v>
      </c>
      <c r="AB124" s="207">
        <v>18644</v>
      </c>
      <c r="AC124" s="207">
        <v>258</v>
      </c>
      <c r="AD124" s="207">
        <v>3686</v>
      </c>
      <c r="AE124" s="481">
        <v>0.9000456763062155</v>
      </c>
      <c r="AF124" s="207">
        <v>20126195.116775736</v>
      </c>
      <c r="AG124" s="207" t="e">
        <v>#DIV/0!</v>
      </c>
      <c r="AH124" s="207" t="e">
        <v>#DIV/0!</v>
      </c>
      <c r="AI124" s="207" t="e">
        <v>#DIV/0!</v>
      </c>
      <c r="AJ124" s="175">
        <v>822</v>
      </c>
      <c r="AK124" s="175">
        <v>8598</v>
      </c>
      <c r="AL124" s="175">
        <v>0.9799380374151524</v>
      </c>
      <c r="AM124" s="175">
        <v>258</v>
      </c>
      <c r="AN124" s="175">
        <v>0.013631320336027897</v>
      </c>
      <c r="AO124" s="175">
        <v>0.0103502412255649</v>
      </c>
      <c r="AP124" s="175">
        <v>0</v>
      </c>
      <c r="AQ124" s="175">
        <v>23</v>
      </c>
      <c r="AR124" s="175">
        <v>2</v>
      </c>
      <c r="AS124" s="175">
        <v>0</v>
      </c>
      <c r="AT124" s="175">
        <v>0</v>
      </c>
      <c r="AU124" s="175">
        <v>648.49</v>
      </c>
      <c r="AV124" s="175">
        <v>29.18626347360792</v>
      </c>
      <c r="AW124" s="175">
        <v>0.6218857770994232</v>
      </c>
      <c r="AX124" s="175">
        <v>587</v>
      </c>
      <c r="AY124" s="175">
        <v>6088</v>
      </c>
      <c r="AZ124" s="175">
        <v>0.096419185282523</v>
      </c>
      <c r="BA124" s="175">
        <v>0.0352353491982885</v>
      </c>
      <c r="BB124" s="175">
        <v>0</v>
      </c>
      <c r="BC124" s="207">
        <v>5441</v>
      </c>
      <c r="BD124" s="175">
        <v>7420</v>
      </c>
      <c r="BE124" s="175">
        <v>0.7332884097035041</v>
      </c>
      <c r="BF124" s="175">
        <v>0.324381527112411</v>
      </c>
      <c r="BG124" s="175">
        <v>0</v>
      </c>
      <c r="BH124" s="175">
        <v>2</v>
      </c>
      <c r="BI124" s="207">
        <v>0</v>
      </c>
      <c r="BJ124" s="207">
        <v>-4542.48</v>
      </c>
      <c r="BK124" s="207">
        <v>-77600.7</v>
      </c>
      <c r="BL124" s="207">
        <v>-5299.56</v>
      </c>
      <c r="BM124" s="207">
        <v>0</v>
      </c>
      <c r="BN124" s="207">
        <v>0</v>
      </c>
      <c r="BO124" s="207">
        <v>194838</v>
      </c>
      <c r="BP124" s="207">
        <v>-969899.1286962064</v>
      </c>
      <c r="BQ124" s="207">
        <v>-805533.12</v>
      </c>
      <c r="BR124" s="207">
        <v>-78414.6230551675</v>
      </c>
      <c r="BS124" s="207">
        <v>1303995</v>
      </c>
      <c r="BT124" s="207">
        <v>416357</v>
      </c>
      <c r="BU124" s="207">
        <v>855099.5997353231</v>
      </c>
      <c r="BV124" s="207">
        <v>20238.89504379743</v>
      </c>
      <c r="BW124" s="207">
        <v>20659.495845095145</v>
      </c>
      <c r="BX124" s="207">
        <v>443704.675469128</v>
      </c>
      <c r="BY124" s="207">
        <v>862823.3342152307</v>
      </c>
      <c r="BZ124" s="207">
        <v>1423658.3558661467</v>
      </c>
      <c r="CA124" s="207">
        <v>329080.5211485977</v>
      </c>
      <c r="CB124" s="207">
        <v>707053.806914659</v>
      </c>
      <c r="CC124" s="207">
        <v>1703.4299999999998</v>
      </c>
      <c r="CD124" s="207">
        <v>91445.98612854056</v>
      </c>
      <c r="CE124" s="207">
        <v>1071603.299323805</v>
      </c>
      <c r="CF124" s="207">
        <v>-1958878.3193724018</v>
      </c>
      <c r="CG124" s="207">
        <v>843292.7762504318</v>
      </c>
      <c r="CH124" s="207">
        <v>912971.8794439998</v>
      </c>
      <c r="CI124" s="207">
        <v>0</v>
      </c>
      <c r="CJ124" s="207">
        <v>11264752.17447198</v>
      </c>
      <c r="CK124" s="207">
        <v>-1975961</v>
      </c>
      <c r="CL124" s="207">
        <v>386114.88000000006</v>
      </c>
      <c r="CM124" s="207">
        <v>364886.742</v>
      </c>
      <c r="CN124" s="207">
        <v>21228.138000000035</v>
      </c>
      <c r="CO124" s="207">
        <v>34389520.322866276</v>
      </c>
      <c r="CP124" s="207">
        <v>37147911.281712346</v>
      </c>
      <c r="CQ124" s="207">
        <v>18978</v>
      </c>
    </row>
    <row r="125" spans="1:95" ht="11.25">
      <c r="A125" s="207">
        <v>416</v>
      </c>
      <c r="B125" s="207" t="s">
        <v>182</v>
      </c>
      <c r="C125" s="207">
        <v>3043</v>
      </c>
      <c r="D125" s="207">
        <v>11475648.559999999</v>
      </c>
      <c r="E125" s="207">
        <v>3434115.851297774</v>
      </c>
      <c r="F125" s="207">
        <v>584214.3391353564</v>
      </c>
      <c r="G125" s="207">
        <v>15493978.750433128</v>
      </c>
      <c r="H125" s="207">
        <v>3664.46</v>
      </c>
      <c r="I125" s="207">
        <v>11150951.78</v>
      </c>
      <c r="J125" s="207">
        <v>4343026.970433129</v>
      </c>
      <c r="K125" s="207">
        <v>9556.972520091347</v>
      </c>
      <c r="L125" s="207">
        <v>-295900.69786567043</v>
      </c>
      <c r="M125" s="207">
        <v>0</v>
      </c>
      <c r="N125" s="207">
        <v>4056683.24508755</v>
      </c>
      <c r="O125" s="207">
        <v>2061860.0086391938</v>
      </c>
      <c r="P125" s="207">
        <v>6118543.253726744</v>
      </c>
      <c r="Q125" s="207">
        <v>190</v>
      </c>
      <c r="R125" s="207">
        <v>45</v>
      </c>
      <c r="S125" s="207">
        <v>240</v>
      </c>
      <c r="T125" s="207">
        <v>103</v>
      </c>
      <c r="U125" s="207">
        <v>101</v>
      </c>
      <c r="V125" s="207">
        <v>1597</v>
      </c>
      <c r="W125" s="207">
        <v>423</v>
      </c>
      <c r="X125" s="207">
        <v>241</v>
      </c>
      <c r="Y125" s="207">
        <v>103</v>
      </c>
      <c r="Z125" s="207">
        <v>4</v>
      </c>
      <c r="AA125" s="207">
        <v>0</v>
      </c>
      <c r="AB125" s="207">
        <v>2974</v>
      </c>
      <c r="AC125" s="207">
        <v>65</v>
      </c>
      <c r="AD125" s="207">
        <v>767</v>
      </c>
      <c r="AE125" s="481">
        <v>0.9552073227989277</v>
      </c>
      <c r="AF125" s="207">
        <v>3434115.851297774</v>
      </c>
      <c r="AG125" s="207" t="e">
        <v>#DIV/0!</v>
      </c>
      <c r="AH125" s="207" t="e">
        <v>#DIV/0!</v>
      </c>
      <c r="AI125" s="207" t="e">
        <v>#DIV/0!</v>
      </c>
      <c r="AJ125" s="175">
        <v>126</v>
      </c>
      <c r="AK125" s="175">
        <v>1384</v>
      </c>
      <c r="AL125" s="175">
        <v>0.9331655423800952</v>
      </c>
      <c r="AM125" s="175">
        <v>65</v>
      </c>
      <c r="AN125" s="175">
        <v>0.021360499507065395</v>
      </c>
      <c r="AO125" s="175">
        <v>0.0180794203966024</v>
      </c>
      <c r="AP125" s="175">
        <v>0</v>
      </c>
      <c r="AQ125" s="175">
        <v>4</v>
      </c>
      <c r="AR125" s="175">
        <v>0</v>
      </c>
      <c r="AS125" s="175">
        <v>0</v>
      </c>
      <c r="AT125" s="175">
        <v>0</v>
      </c>
      <c r="AU125" s="175">
        <v>217.9</v>
      </c>
      <c r="AV125" s="175">
        <v>13.965121615419918</v>
      </c>
      <c r="AW125" s="175">
        <v>1.2997038365116595</v>
      </c>
      <c r="AX125" s="175">
        <v>98</v>
      </c>
      <c r="AY125" s="175">
        <v>921</v>
      </c>
      <c r="AZ125" s="175">
        <v>0.10640608034744843</v>
      </c>
      <c r="BA125" s="175">
        <v>0.04522224426321394</v>
      </c>
      <c r="BB125" s="175">
        <v>0</v>
      </c>
      <c r="BC125" s="207">
        <v>549</v>
      </c>
      <c r="BD125" s="175">
        <v>1202</v>
      </c>
      <c r="BE125" s="175">
        <v>0.456738768718802</v>
      </c>
      <c r="BF125" s="175">
        <v>0.04783188612770889</v>
      </c>
      <c r="BG125" s="175">
        <v>0</v>
      </c>
      <c r="BH125" s="175">
        <v>0</v>
      </c>
      <c r="BI125" s="207">
        <v>0</v>
      </c>
      <c r="BJ125" s="207">
        <v>-730.3199999999999</v>
      </c>
      <c r="BK125" s="207">
        <v>-12476.3</v>
      </c>
      <c r="BL125" s="207">
        <v>-852.0400000000001</v>
      </c>
      <c r="BM125" s="207">
        <v>0</v>
      </c>
      <c r="BN125" s="207">
        <v>0</v>
      </c>
      <c r="BO125" s="207">
        <v>34956</v>
      </c>
      <c r="BP125" s="207">
        <v>-134271.1642026333</v>
      </c>
      <c r="BQ125" s="207">
        <v>-129510.08</v>
      </c>
      <c r="BR125" s="207">
        <v>-11455.423512226902</v>
      </c>
      <c r="BS125" s="207">
        <v>279320</v>
      </c>
      <c r="BT125" s="207">
        <v>82236</v>
      </c>
      <c r="BU125" s="207">
        <v>190087.50948810115</v>
      </c>
      <c r="BV125" s="207">
        <v>5433.9903436895065</v>
      </c>
      <c r="BW125" s="207">
        <v>12855.739432420762</v>
      </c>
      <c r="BX125" s="207">
        <v>85809.04218262987</v>
      </c>
      <c r="BY125" s="207">
        <v>150215.59532392293</v>
      </c>
      <c r="BZ125" s="207">
        <v>236626.36320856414</v>
      </c>
      <c r="CA125" s="207">
        <v>65877.87675757242</v>
      </c>
      <c r="CB125" s="207">
        <v>122636.70339636307</v>
      </c>
      <c r="CC125" s="207">
        <v>273.87</v>
      </c>
      <c r="CD125" s="207">
        <v>6790.5517086032305</v>
      </c>
      <c r="CE125" s="207">
        <v>169661.87633696283</v>
      </c>
      <c r="CF125" s="207">
        <v>-295900.69786567043</v>
      </c>
      <c r="CG125" s="207">
        <v>136084.3081405865</v>
      </c>
      <c r="CH125" s="207">
        <v>173101.58713860667</v>
      </c>
      <c r="CI125" s="207">
        <v>0</v>
      </c>
      <c r="CJ125" s="207">
        <v>2061860.0086391938</v>
      </c>
      <c r="CK125" s="207">
        <v>-616236</v>
      </c>
      <c r="CL125" s="207">
        <v>64147.97</v>
      </c>
      <c r="CM125" s="207">
        <v>116720.67400000001</v>
      </c>
      <c r="CN125" s="207">
        <v>-52572.70400000001</v>
      </c>
      <c r="CO125" s="207">
        <v>5502307.253726744</v>
      </c>
      <c r="CP125" s="207">
        <v>6176134.4226077795</v>
      </c>
      <c r="CQ125" s="207">
        <v>3063</v>
      </c>
    </row>
    <row r="126" spans="1:95" ht="11.25">
      <c r="A126" s="207">
        <v>418</v>
      </c>
      <c r="B126" s="207" t="s">
        <v>183</v>
      </c>
      <c r="C126" s="207">
        <v>23206</v>
      </c>
      <c r="D126" s="207">
        <v>86535820.33000001</v>
      </c>
      <c r="E126" s="207">
        <v>18308035.350170396</v>
      </c>
      <c r="F126" s="207">
        <v>2637228.6373760393</v>
      </c>
      <c r="G126" s="207">
        <v>107481084.31754646</v>
      </c>
      <c r="H126" s="207">
        <v>3664.46</v>
      </c>
      <c r="I126" s="207">
        <v>85037458.76</v>
      </c>
      <c r="J126" s="207">
        <v>22443625.55754645</v>
      </c>
      <c r="K126" s="207">
        <v>449486.6409842329</v>
      </c>
      <c r="L126" s="207">
        <v>-2351278.517746874</v>
      </c>
      <c r="M126" s="207">
        <v>0</v>
      </c>
      <c r="N126" s="207">
        <v>20541833.680783812</v>
      </c>
      <c r="O126" s="207">
        <v>501154.4769263911</v>
      </c>
      <c r="P126" s="207">
        <v>21042988.157710202</v>
      </c>
      <c r="Q126" s="207">
        <v>1896</v>
      </c>
      <c r="R126" s="207">
        <v>392</v>
      </c>
      <c r="S126" s="207">
        <v>2387</v>
      </c>
      <c r="T126" s="207">
        <v>1014</v>
      </c>
      <c r="U126" s="207">
        <v>897</v>
      </c>
      <c r="V126" s="207">
        <v>12821</v>
      </c>
      <c r="W126" s="207">
        <v>2329</v>
      </c>
      <c r="X126" s="207">
        <v>1067</v>
      </c>
      <c r="Y126" s="207">
        <v>403</v>
      </c>
      <c r="Z126" s="207">
        <v>64</v>
      </c>
      <c r="AA126" s="207">
        <v>0</v>
      </c>
      <c r="AB126" s="207">
        <v>22602</v>
      </c>
      <c r="AC126" s="207">
        <v>540</v>
      </c>
      <c r="AD126" s="207">
        <v>3799</v>
      </c>
      <c r="AE126" s="481">
        <v>0.6677687754254357</v>
      </c>
      <c r="AF126" s="207">
        <v>18308035.350170396</v>
      </c>
      <c r="AG126" s="207" t="e">
        <v>#DIV/0!</v>
      </c>
      <c r="AH126" s="207" t="e">
        <v>#DIV/0!</v>
      </c>
      <c r="AI126" s="207" t="e">
        <v>#DIV/0!</v>
      </c>
      <c r="AJ126" s="175">
        <v>684</v>
      </c>
      <c r="AK126" s="175">
        <v>11014</v>
      </c>
      <c r="AL126" s="175">
        <v>0.6365540248106821</v>
      </c>
      <c r="AM126" s="175">
        <v>540</v>
      </c>
      <c r="AN126" s="175">
        <v>0.023269844005860553</v>
      </c>
      <c r="AO126" s="175">
        <v>0.019988764895397557</v>
      </c>
      <c r="AP126" s="175">
        <v>0</v>
      </c>
      <c r="AQ126" s="175">
        <v>64</v>
      </c>
      <c r="AR126" s="175">
        <v>0</v>
      </c>
      <c r="AS126" s="175">
        <v>0</v>
      </c>
      <c r="AT126" s="175">
        <v>0</v>
      </c>
      <c r="AU126" s="175">
        <v>269.55</v>
      </c>
      <c r="AV126" s="175">
        <v>86.09163420515674</v>
      </c>
      <c r="AW126" s="175">
        <v>0.2108279429062805</v>
      </c>
      <c r="AX126" s="175">
        <v>629</v>
      </c>
      <c r="AY126" s="175">
        <v>8017</v>
      </c>
      <c r="AZ126" s="175">
        <v>0.0784582761631533</v>
      </c>
      <c r="BA126" s="175">
        <v>0.01727444007891881</v>
      </c>
      <c r="BB126" s="175">
        <v>0</v>
      </c>
      <c r="BC126" s="207">
        <v>6818</v>
      </c>
      <c r="BD126" s="175">
        <v>9686</v>
      </c>
      <c r="BE126" s="175">
        <v>0.70390253974809</v>
      </c>
      <c r="BF126" s="175">
        <v>0.29499565715699694</v>
      </c>
      <c r="BG126" s="175">
        <v>0</v>
      </c>
      <c r="BH126" s="175">
        <v>0</v>
      </c>
      <c r="BI126" s="207">
        <v>0</v>
      </c>
      <c r="BJ126" s="207">
        <v>-5569.44</v>
      </c>
      <c r="BK126" s="207">
        <v>-95144.59999999999</v>
      </c>
      <c r="BL126" s="207">
        <v>-6497.68</v>
      </c>
      <c r="BM126" s="207">
        <v>0</v>
      </c>
      <c r="BN126" s="207">
        <v>0</v>
      </c>
      <c r="BO126" s="207">
        <v>343408</v>
      </c>
      <c r="BP126" s="207">
        <v>-1142948.245709211</v>
      </c>
      <c r="BQ126" s="207">
        <v>-987647.3600000001</v>
      </c>
      <c r="BR126" s="207">
        <v>-22639.194855719805</v>
      </c>
      <c r="BS126" s="207">
        <v>1342222</v>
      </c>
      <c r="BT126" s="207">
        <v>425216</v>
      </c>
      <c r="BU126" s="207">
        <v>845415.0618822824</v>
      </c>
      <c r="BV126" s="207">
        <v>8296.370292491418</v>
      </c>
      <c r="BW126" s="207">
        <v>-22793.950664415817</v>
      </c>
      <c r="BX126" s="207">
        <v>436658.97893666575</v>
      </c>
      <c r="BY126" s="207">
        <v>906480.7620530743</v>
      </c>
      <c r="BZ126" s="207">
        <v>1500871.9621401401</v>
      </c>
      <c r="CA126" s="207">
        <v>378895.34219319944</v>
      </c>
      <c r="CB126" s="207">
        <v>753953.5517261815</v>
      </c>
      <c r="CC126" s="207">
        <v>2088.54</v>
      </c>
      <c r="CD126" s="207">
        <v>28264.493502075667</v>
      </c>
      <c r="CE126" s="207">
        <v>1318106.9479623376</v>
      </c>
      <c r="CF126" s="207">
        <v>-2351278.517746874</v>
      </c>
      <c r="CG126" s="207">
        <v>944011.1693159818</v>
      </c>
      <c r="CH126" s="207">
        <v>1015416.0152928359</v>
      </c>
      <c r="CI126" s="207">
        <v>0</v>
      </c>
      <c r="CJ126" s="207">
        <v>501154.4769263911</v>
      </c>
      <c r="CK126" s="207">
        <v>-2385633</v>
      </c>
      <c r="CL126" s="207">
        <v>459806.6500000001</v>
      </c>
      <c r="CM126" s="207">
        <v>662966.8840000002</v>
      </c>
      <c r="CN126" s="207">
        <v>-203160.2340000001</v>
      </c>
      <c r="CO126" s="207">
        <v>18657355.157710202</v>
      </c>
      <c r="CP126" s="207">
        <v>22488009.104777243</v>
      </c>
      <c r="CQ126" s="207">
        <v>22829</v>
      </c>
    </row>
    <row r="127" spans="1:95" ht="11.25">
      <c r="A127" s="207">
        <v>420</v>
      </c>
      <c r="B127" s="207" t="s">
        <v>184</v>
      </c>
      <c r="C127" s="207">
        <v>9650</v>
      </c>
      <c r="D127" s="207">
        <v>35032258.72</v>
      </c>
      <c r="E127" s="207">
        <v>16063477.059890313</v>
      </c>
      <c r="F127" s="207">
        <v>2182921.427158147</v>
      </c>
      <c r="G127" s="207">
        <v>53278657.20704846</v>
      </c>
      <c r="H127" s="207">
        <v>3664.46</v>
      </c>
      <c r="I127" s="207">
        <v>35362039</v>
      </c>
      <c r="J127" s="207">
        <v>17916618.20704846</v>
      </c>
      <c r="K127" s="207">
        <v>230302.08833403367</v>
      </c>
      <c r="L127" s="207">
        <v>-1023820.1770155631</v>
      </c>
      <c r="M127" s="207">
        <v>0</v>
      </c>
      <c r="N127" s="207">
        <v>17123100.118366934</v>
      </c>
      <c r="O127" s="207">
        <v>5113150.106223076</v>
      </c>
      <c r="P127" s="207">
        <v>22236250.22459001</v>
      </c>
      <c r="Q127" s="207">
        <v>428</v>
      </c>
      <c r="R127" s="207">
        <v>93</v>
      </c>
      <c r="S127" s="207">
        <v>596</v>
      </c>
      <c r="T127" s="207">
        <v>290</v>
      </c>
      <c r="U127" s="207">
        <v>308</v>
      </c>
      <c r="V127" s="207">
        <v>5066</v>
      </c>
      <c r="W127" s="207">
        <v>1555</v>
      </c>
      <c r="X127" s="207">
        <v>939</v>
      </c>
      <c r="Y127" s="207">
        <v>375</v>
      </c>
      <c r="Z127" s="207">
        <v>11</v>
      </c>
      <c r="AA127" s="207">
        <v>0</v>
      </c>
      <c r="AB127" s="207">
        <v>9464</v>
      </c>
      <c r="AC127" s="207">
        <v>175</v>
      </c>
      <c r="AD127" s="207">
        <v>2869</v>
      </c>
      <c r="AE127" s="481">
        <v>1.4089542695419117</v>
      </c>
      <c r="AF127" s="207">
        <v>16063477.059890313</v>
      </c>
      <c r="AG127" s="207" t="e">
        <v>#DIV/0!</v>
      </c>
      <c r="AH127" s="207" t="e">
        <v>#DIV/0!</v>
      </c>
      <c r="AI127" s="207" t="e">
        <v>#DIV/0!</v>
      </c>
      <c r="AJ127" s="175">
        <v>398</v>
      </c>
      <c r="AK127" s="175">
        <v>4221</v>
      </c>
      <c r="AL127" s="175">
        <v>0.9664779692623666</v>
      </c>
      <c r="AM127" s="175">
        <v>175</v>
      </c>
      <c r="AN127" s="175">
        <v>0.018134715025906734</v>
      </c>
      <c r="AO127" s="175">
        <v>0.014853635915443739</v>
      </c>
      <c r="AP127" s="175">
        <v>0</v>
      </c>
      <c r="AQ127" s="175">
        <v>11</v>
      </c>
      <c r="AR127" s="175">
        <v>0</v>
      </c>
      <c r="AS127" s="175">
        <v>0</v>
      </c>
      <c r="AT127" s="175">
        <v>0</v>
      </c>
      <c r="AU127" s="175">
        <v>1135.98</v>
      </c>
      <c r="AV127" s="175">
        <v>8.494867867392031</v>
      </c>
      <c r="AW127" s="175">
        <v>2.136645610532077</v>
      </c>
      <c r="AX127" s="175">
        <v>321</v>
      </c>
      <c r="AY127" s="175">
        <v>2755</v>
      </c>
      <c r="AZ127" s="175">
        <v>0.11651542649727768</v>
      </c>
      <c r="BA127" s="175">
        <v>0.05533159041304319</v>
      </c>
      <c r="BB127" s="175">
        <v>0</v>
      </c>
      <c r="BC127" s="207">
        <v>2813</v>
      </c>
      <c r="BD127" s="175">
        <v>3642</v>
      </c>
      <c r="BE127" s="175">
        <v>0.772377814387699</v>
      </c>
      <c r="BF127" s="175">
        <v>0.36347093179660594</v>
      </c>
      <c r="BG127" s="175">
        <v>0</v>
      </c>
      <c r="BH127" s="175">
        <v>0</v>
      </c>
      <c r="BI127" s="207">
        <v>0</v>
      </c>
      <c r="BJ127" s="207">
        <v>-2316</v>
      </c>
      <c r="BK127" s="207">
        <v>-39565</v>
      </c>
      <c r="BL127" s="207">
        <v>-2702.0000000000005</v>
      </c>
      <c r="BM127" s="207">
        <v>0</v>
      </c>
      <c r="BN127" s="207">
        <v>0</v>
      </c>
      <c r="BO127" s="207">
        <v>13462</v>
      </c>
      <c r="BP127" s="207">
        <v>-333810.5107172375</v>
      </c>
      <c r="BQ127" s="207">
        <v>-410704</v>
      </c>
      <c r="BR127" s="207">
        <v>-162756.96273579448</v>
      </c>
      <c r="BS127" s="207">
        <v>916807</v>
      </c>
      <c r="BT127" s="207">
        <v>274888</v>
      </c>
      <c r="BU127" s="207">
        <v>642507.6030536001</v>
      </c>
      <c r="BV127" s="207">
        <v>26076.26417859702</v>
      </c>
      <c r="BW127" s="207">
        <v>100966.89511105619</v>
      </c>
      <c r="BX127" s="207">
        <v>316588.37062268355</v>
      </c>
      <c r="BY127" s="207">
        <v>483606.50641529675</v>
      </c>
      <c r="BZ127" s="207">
        <v>771459.6196428823</v>
      </c>
      <c r="CA127" s="207">
        <v>225046.2031277343</v>
      </c>
      <c r="CB127" s="207">
        <v>416066.2286854894</v>
      </c>
      <c r="CC127" s="207">
        <v>868.5</v>
      </c>
      <c r="CD127" s="207">
        <v>31509.96796253744</v>
      </c>
      <c r="CE127" s="207">
        <v>360585.83370167424</v>
      </c>
      <c r="CF127" s="207">
        <v>-1023820.1770155631</v>
      </c>
      <c r="CG127" s="207">
        <v>467948.8284749313</v>
      </c>
      <c r="CH127" s="207">
        <v>573022.3198684361</v>
      </c>
      <c r="CI127" s="207">
        <v>0</v>
      </c>
      <c r="CJ127" s="207">
        <v>5113150.106223076</v>
      </c>
      <c r="CK127" s="207">
        <v>-1070106</v>
      </c>
      <c r="CL127" s="207">
        <v>113230.37</v>
      </c>
      <c r="CM127" s="207">
        <v>217625.90800000002</v>
      </c>
      <c r="CN127" s="207">
        <v>-104395.53800000003</v>
      </c>
      <c r="CO127" s="207">
        <v>21166144.22459001</v>
      </c>
      <c r="CP127" s="207">
        <v>23434847.326605026</v>
      </c>
      <c r="CQ127" s="207">
        <v>9782</v>
      </c>
    </row>
    <row r="128" spans="1:95" ht="11.25">
      <c r="A128" s="207">
        <v>421</v>
      </c>
      <c r="B128" s="207" t="s">
        <v>185</v>
      </c>
      <c r="C128" s="207">
        <v>737</v>
      </c>
      <c r="D128" s="207">
        <v>2852126.59</v>
      </c>
      <c r="E128" s="207">
        <v>1196871.4496285575</v>
      </c>
      <c r="F128" s="207">
        <v>448199.7860814265</v>
      </c>
      <c r="G128" s="207">
        <v>4497197.825709984</v>
      </c>
      <c r="H128" s="207">
        <v>3664.46</v>
      </c>
      <c r="I128" s="207">
        <v>2700707.02</v>
      </c>
      <c r="J128" s="207">
        <v>1796490.8057099837</v>
      </c>
      <c r="K128" s="207">
        <v>165456.9812819965</v>
      </c>
      <c r="L128" s="207">
        <v>10714.30810385343</v>
      </c>
      <c r="M128" s="207">
        <v>0</v>
      </c>
      <c r="N128" s="207">
        <v>1972662.0950958335</v>
      </c>
      <c r="O128" s="207">
        <v>705538.3621605915</v>
      </c>
      <c r="P128" s="207">
        <v>2678200.457256425</v>
      </c>
      <c r="Q128" s="207">
        <v>45</v>
      </c>
      <c r="R128" s="207">
        <v>3</v>
      </c>
      <c r="S128" s="207">
        <v>39</v>
      </c>
      <c r="T128" s="207">
        <v>23</v>
      </c>
      <c r="U128" s="207">
        <v>30</v>
      </c>
      <c r="V128" s="207">
        <v>363</v>
      </c>
      <c r="W128" s="207">
        <v>134</v>
      </c>
      <c r="X128" s="207">
        <v>63</v>
      </c>
      <c r="Y128" s="207">
        <v>37</v>
      </c>
      <c r="Z128" s="207">
        <v>1</v>
      </c>
      <c r="AA128" s="207">
        <v>0</v>
      </c>
      <c r="AB128" s="207">
        <v>723</v>
      </c>
      <c r="AC128" s="207">
        <v>13</v>
      </c>
      <c r="AD128" s="207">
        <v>234</v>
      </c>
      <c r="AE128" s="481">
        <v>1.3745630738445984</v>
      </c>
      <c r="AF128" s="207">
        <v>1196871.4496285575</v>
      </c>
      <c r="AG128" s="207" t="e">
        <v>#DIV/0!</v>
      </c>
      <c r="AH128" s="207" t="e">
        <v>#DIV/0!</v>
      </c>
      <c r="AI128" s="207" t="e">
        <v>#DIV/0!</v>
      </c>
      <c r="AJ128" s="175">
        <v>22</v>
      </c>
      <c r="AK128" s="175">
        <v>316</v>
      </c>
      <c r="AL128" s="175">
        <v>0.7136082086193776</v>
      </c>
      <c r="AM128" s="175">
        <v>13</v>
      </c>
      <c r="AN128" s="175">
        <v>0.017639077340569877</v>
      </c>
      <c r="AO128" s="175">
        <v>0.014357998230106882</v>
      </c>
      <c r="AP128" s="175">
        <v>0</v>
      </c>
      <c r="AQ128" s="175">
        <v>1</v>
      </c>
      <c r="AR128" s="175">
        <v>0</v>
      </c>
      <c r="AS128" s="175">
        <v>0</v>
      </c>
      <c r="AT128" s="175">
        <v>0</v>
      </c>
      <c r="AU128" s="175">
        <v>480.3</v>
      </c>
      <c r="AV128" s="175">
        <v>1.534457630647512</v>
      </c>
      <c r="AW128" s="175">
        <v>11.82862385926811</v>
      </c>
      <c r="AX128" s="175">
        <v>30</v>
      </c>
      <c r="AY128" s="175">
        <v>185</v>
      </c>
      <c r="AZ128" s="175">
        <v>0.16216216216216217</v>
      </c>
      <c r="BA128" s="175">
        <v>0.10097832607792767</v>
      </c>
      <c r="BB128" s="175">
        <v>0.844066</v>
      </c>
      <c r="BC128" s="207">
        <v>289</v>
      </c>
      <c r="BD128" s="175">
        <v>276</v>
      </c>
      <c r="BE128" s="175">
        <v>1.0471014492753623</v>
      </c>
      <c r="BF128" s="175">
        <v>0.6381945666842692</v>
      </c>
      <c r="BG128" s="175">
        <v>0</v>
      </c>
      <c r="BH128" s="175">
        <v>0</v>
      </c>
      <c r="BI128" s="207">
        <v>0</v>
      </c>
      <c r="BJ128" s="207">
        <v>-176.88</v>
      </c>
      <c r="BK128" s="207">
        <v>-3021.7</v>
      </c>
      <c r="BL128" s="207">
        <v>-206.36</v>
      </c>
      <c r="BM128" s="207">
        <v>0</v>
      </c>
      <c r="BN128" s="207">
        <v>0</v>
      </c>
      <c r="BO128" s="207">
        <v>18127</v>
      </c>
      <c r="BP128" s="207">
        <v>4075.7004890680255</v>
      </c>
      <c r="BQ128" s="207">
        <v>-31366.72</v>
      </c>
      <c r="BR128" s="207">
        <v>39125.340264778584</v>
      </c>
      <c r="BS128" s="207">
        <v>87058</v>
      </c>
      <c r="BT128" s="207">
        <v>27619</v>
      </c>
      <c r="BU128" s="207">
        <v>77405.55972526678</v>
      </c>
      <c r="BV128" s="207">
        <v>3950.5922864278295</v>
      </c>
      <c r="BW128" s="207">
        <v>13927.977188081828</v>
      </c>
      <c r="BX128" s="207">
        <v>33393.64252528982</v>
      </c>
      <c r="BY128" s="207">
        <v>41412.7244548931</v>
      </c>
      <c r="BZ128" s="207">
        <v>78470.13888235787</v>
      </c>
      <c r="CA128" s="207">
        <v>23278.63636519998</v>
      </c>
      <c r="CB128" s="207">
        <v>41380.884639625365</v>
      </c>
      <c r="CC128" s="207">
        <v>66.33</v>
      </c>
      <c r="CD128" s="207">
        <v>-10671.592234454174</v>
      </c>
      <c r="CE128" s="207">
        <v>86875.7976147854</v>
      </c>
      <c r="CF128" s="207">
        <v>10714.30810385343</v>
      </c>
      <c r="CG128" s="207">
        <v>39499.08958446099</v>
      </c>
      <c r="CH128" s="207">
        <v>59400.63394973092</v>
      </c>
      <c r="CI128" s="207">
        <v>0</v>
      </c>
      <c r="CJ128" s="207">
        <v>705538.3621605915</v>
      </c>
      <c r="CK128" s="207">
        <v>-147397</v>
      </c>
      <c r="CL128" s="207">
        <v>0</v>
      </c>
      <c r="CM128" s="207">
        <v>10907.2</v>
      </c>
      <c r="CN128" s="207">
        <v>-10907.2</v>
      </c>
      <c r="CO128" s="207">
        <v>2530803.457256425</v>
      </c>
      <c r="CP128" s="207">
        <v>2979608.8655115324</v>
      </c>
      <c r="CQ128" s="207">
        <v>789</v>
      </c>
    </row>
    <row r="129" spans="1:95" ht="11.25">
      <c r="A129" s="207">
        <v>422</v>
      </c>
      <c r="B129" s="207" t="s">
        <v>186</v>
      </c>
      <c r="C129" s="207">
        <v>11098</v>
      </c>
      <c r="D129" s="207">
        <v>39147702.89</v>
      </c>
      <c r="E129" s="207">
        <v>20946173.37806048</v>
      </c>
      <c r="F129" s="207">
        <v>5404277.5709137805</v>
      </c>
      <c r="G129" s="207">
        <v>65498153.83897425</v>
      </c>
      <c r="H129" s="207">
        <v>3664.46</v>
      </c>
      <c r="I129" s="207">
        <v>40668177.08</v>
      </c>
      <c r="J129" s="207">
        <v>24829976.758974254</v>
      </c>
      <c r="K129" s="207">
        <v>2560318.1418349915</v>
      </c>
      <c r="L129" s="207">
        <v>-530481.9315177604</v>
      </c>
      <c r="M129" s="207">
        <v>0</v>
      </c>
      <c r="N129" s="207">
        <v>26859812.969291486</v>
      </c>
      <c r="O129" s="207">
        <v>7050195.767634303</v>
      </c>
      <c r="P129" s="207">
        <v>33910008.73692579</v>
      </c>
      <c r="Q129" s="207">
        <v>406</v>
      </c>
      <c r="R129" s="207">
        <v>90</v>
      </c>
      <c r="S129" s="207">
        <v>502</v>
      </c>
      <c r="T129" s="207">
        <v>245</v>
      </c>
      <c r="U129" s="207">
        <v>258</v>
      </c>
      <c r="V129" s="207">
        <v>5625</v>
      </c>
      <c r="W129" s="207">
        <v>2272</v>
      </c>
      <c r="X129" s="207">
        <v>1207</v>
      </c>
      <c r="Y129" s="207">
        <v>493</v>
      </c>
      <c r="Z129" s="207">
        <v>11</v>
      </c>
      <c r="AA129" s="207">
        <v>0</v>
      </c>
      <c r="AB129" s="207">
        <v>10680</v>
      </c>
      <c r="AC129" s="207">
        <v>407</v>
      </c>
      <c r="AD129" s="207">
        <v>3972</v>
      </c>
      <c r="AE129" s="481">
        <v>1.597513830995714</v>
      </c>
      <c r="AF129" s="207">
        <v>20946173.37806048</v>
      </c>
      <c r="AG129" s="207" t="e">
        <v>#DIV/0!</v>
      </c>
      <c r="AH129" s="207" t="e">
        <v>#DIV/0!</v>
      </c>
      <c r="AI129" s="207" t="e">
        <v>#DIV/0!</v>
      </c>
      <c r="AJ129" s="175">
        <v>713</v>
      </c>
      <c r="AK129" s="175">
        <v>4500</v>
      </c>
      <c r="AL129" s="175">
        <v>1.6240569521981287</v>
      </c>
      <c r="AM129" s="175">
        <v>407</v>
      </c>
      <c r="AN129" s="175">
        <v>0.03667327446386737</v>
      </c>
      <c r="AO129" s="175">
        <v>0.03339219535340437</v>
      </c>
      <c r="AP129" s="175">
        <v>0</v>
      </c>
      <c r="AQ129" s="175">
        <v>11</v>
      </c>
      <c r="AR129" s="175">
        <v>0</v>
      </c>
      <c r="AS129" s="175">
        <v>3</v>
      </c>
      <c r="AT129" s="175">
        <v>232</v>
      </c>
      <c r="AU129" s="175">
        <v>3417.89</v>
      </c>
      <c r="AV129" s="175">
        <v>3.2470325259151114</v>
      </c>
      <c r="AW129" s="175">
        <v>5.5898799892057776</v>
      </c>
      <c r="AX129" s="175">
        <v>433</v>
      </c>
      <c r="AY129" s="175">
        <v>2634</v>
      </c>
      <c r="AZ129" s="175">
        <v>0.16438876233864844</v>
      </c>
      <c r="BA129" s="175">
        <v>0.10320492625441394</v>
      </c>
      <c r="BB129" s="175">
        <v>0.874783</v>
      </c>
      <c r="BC129" s="207">
        <v>3689</v>
      </c>
      <c r="BD129" s="175">
        <v>3546</v>
      </c>
      <c r="BE129" s="175">
        <v>1.0403271291596166</v>
      </c>
      <c r="BF129" s="175">
        <v>0.6314202465685235</v>
      </c>
      <c r="BG129" s="175">
        <v>0</v>
      </c>
      <c r="BH129" s="175">
        <v>0</v>
      </c>
      <c r="BI129" s="207">
        <v>0</v>
      </c>
      <c r="BJ129" s="207">
        <v>-2663.52</v>
      </c>
      <c r="BK129" s="207">
        <v>-45501.799999999996</v>
      </c>
      <c r="BL129" s="207">
        <v>-3107.4400000000005</v>
      </c>
      <c r="BM129" s="207">
        <v>0</v>
      </c>
      <c r="BN129" s="207">
        <v>0</v>
      </c>
      <c r="BO129" s="207">
        <v>635429</v>
      </c>
      <c r="BP129" s="207">
        <v>-337793.5548480045</v>
      </c>
      <c r="BQ129" s="207">
        <v>-472330.88</v>
      </c>
      <c r="BR129" s="207">
        <v>-315981.70902796835</v>
      </c>
      <c r="BS129" s="207">
        <v>1068144</v>
      </c>
      <c r="BT129" s="207">
        <v>308816</v>
      </c>
      <c r="BU129" s="207">
        <v>830643.1792137162</v>
      </c>
      <c r="BV129" s="207">
        <v>50258.222704215</v>
      </c>
      <c r="BW129" s="207">
        <v>160868.26536115995</v>
      </c>
      <c r="BX129" s="207">
        <v>477634.4870978819</v>
      </c>
      <c r="BY129" s="207">
        <v>576044.7873923811</v>
      </c>
      <c r="BZ129" s="207">
        <v>990194.3049416464</v>
      </c>
      <c r="CA129" s="207">
        <v>262197.11248605064</v>
      </c>
      <c r="CB129" s="207">
        <v>511283.1012130259</v>
      </c>
      <c r="CC129" s="207">
        <v>998.8199999999999</v>
      </c>
      <c r="CD129" s="207">
        <v>108844.53860003932</v>
      </c>
      <c r="CE129" s="207">
        <v>1015550.8833302442</v>
      </c>
      <c r="CF129" s="207">
        <v>-530481.9315177604</v>
      </c>
      <c r="CG129" s="207">
        <v>575273.2137581733</v>
      </c>
      <c r="CH129" s="207">
        <v>653250.7337846691</v>
      </c>
      <c r="CI129" s="207">
        <v>0</v>
      </c>
      <c r="CJ129" s="207">
        <v>7050195.767634303</v>
      </c>
      <c r="CK129" s="207">
        <v>-546074</v>
      </c>
      <c r="CL129" s="207">
        <v>343849.48</v>
      </c>
      <c r="CM129" s="207">
        <v>97755.78</v>
      </c>
      <c r="CN129" s="207">
        <v>246093.69999999998</v>
      </c>
      <c r="CO129" s="207">
        <v>33363934.73692579</v>
      </c>
      <c r="CP129" s="207">
        <v>36689509.3587397</v>
      </c>
      <c r="CQ129" s="207">
        <v>11297</v>
      </c>
    </row>
    <row r="130" spans="1:95" ht="11.25">
      <c r="A130" s="207">
        <v>423</v>
      </c>
      <c r="B130" s="207" t="s">
        <v>187</v>
      </c>
      <c r="C130" s="207">
        <v>19831</v>
      </c>
      <c r="D130" s="207">
        <v>71964608.89000002</v>
      </c>
      <c r="E130" s="207">
        <v>17493026.453086127</v>
      </c>
      <c r="F130" s="207">
        <v>2556708.9158840864</v>
      </c>
      <c r="G130" s="207">
        <v>92014344.25897023</v>
      </c>
      <c r="H130" s="207">
        <v>3664.46</v>
      </c>
      <c r="I130" s="207">
        <v>72669906.26</v>
      </c>
      <c r="J130" s="207">
        <v>19344437.998970225</v>
      </c>
      <c r="K130" s="207">
        <v>384043.73972312745</v>
      </c>
      <c r="L130" s="207">
        <v>-1898000.1162898582</v>
      </c>
      <c r="M130" s="207">
        <v>0</v>
      </c>
      <c r="N130" s="207">
        <v>17830481.622403495</v>
      </c>
      <c r="O130" s="207">
        <v>-171456.7504691643</v>
      </c>
      <c r="P130" s="207">
        <v>17659024.871934332</v>
      </c>
      <c r="Q130" s="207">
        <v>1412</v>
      </c>
      <c r="R130" s="207">
        <v>272</v>
      </c>
      <c r="S130" s="207">
        <v>1747</v>
      </c>
      <c r="T130" s="207">
        <v>826</v>
      </c>
      <c r="U130" s="207">
        <v>765</v>
      </c>
      <c r="V130" s="207">
        <v>11059</v>
      </c>
      <c r="W130" s="207">
        <v>2220</v>
      </c>
      <c r="X130" s="207">
        <v>1113</v>
      </c>
      <c r="Y130" s="207">
        <v>417</v>
      </c>
      <c r="Z130" s="207">
        <v>274</v>
      </c>
      <c r="AA130" s="207">
        <v>1</v>
      </c>
      <c r="AB130" s="207">
        <v>18939</v>
      </c>
      <c r="AC130" s="207">
        <v>617</v>
      </c>
      <c r="AD130" s="207">
        <v>3750</v>
      </c>
      <c r="AE130" s="481">
        <v>0.7466292359735173</v>
      </c>
      <c r="AF130" s="207">
        <v>17493026.453086127</v>
      </c>
      <c r="AG130" s="207" t="e">
        <v>#DIV/0!</v>
      </c>
      <c r="AH130" s="207" t="e">
        <v>#DIV/0!</v>
      </c>
      <c r="AI130" s="207" t="e">
        <v>#DIV/0!</v>
      </c>
      <c r="AJ130" s="175">
        <v>502</v>
      </c>
      <c r="AK130" s="175">
        <v>9528</v>
      </c>
      <c r="AL130" s="175">
        <v>0.5400403468709885</v>
      </c>
      <c r="AM130" s="175">
        <v>617</v>
      </c>
      <c r="AN130" s="175">
        <v>0.031112904039130654</v>
      </c>
      <c r="AO130" s="175">
        <v>0.027831824928667658</v>
      </c>
      <c r="AP130" s="175">
        <v>0</v>
      </c>
      <c r="AQ130" s="175">
        <v>274</v>
      </c>
      <c r="AR130" s="175">
        <v>1</v>
      </c>
      <c r="AS130" s="175">
        <v>0</v>
      </c>
      <c r="AT130" s="175">
        <v>0</v>
      </c>
      <c r="AU130" s="175">
        <v>300.52</v>
      </c>
      <c r="AV130" s="175">
        <v>65.98895248236391</v>
      </c>
      <c r="AW130" s="175">
        <v>0.27505395158021406</v>
      </c>
      <c r="AX130" s="175">
        <v>648</v>
      </c>
      <c r="AY130" s="175">
        <v>6955</v>
      </c>
      <c r="AZ130" s="175">
        <v>0.0931703810208483</v>
      </c>
      <c r="BA130" s="175">
        <v>0.03198654493661381</v>
      </c>
      <c r="BB130" s="175">
        <v>0</v>
      </c>
      <c r="BC130" s="207">
        <v>6146</v>
      </c>
      <c r="BD130" s="175">
        <v>8732</v>
      </c>
      <c r="BE130" s="175">
        <v>0.7038479157123225</v>
      </c>
      <c r="BF130" s="175">
        <v>0.29494103312122943</v>
      </c>
      <c r="BG130" s="175">
        <v>0</v>
      </c>
      <c r="BH130" s="175">
        <v>1</v>
      </c>
      <c r="BI130" s="207">
        <v>0</v>
      </c>
      <c r="BJ130" s="207">
        <v>-4759.44</v>
      </c>
      <c r="BK130" s="207">
        <v>-81307.09999999999</v>
      </c>
      <c r="BL130" s="207">
        <v>-5552.68</v>
      </c>
      <c r="BM130" s="207">
        <v>0</v>
      </c>
      <c r="BN130" s="207">
        <v>0</v>
      </c>
      <c r="BO130" s="207">
        <v>13774</v>
      </c>
      <c r="BP130" s="207">
        <v>-441034.5111091175</v>
      </c>
      <c r="BQ130" s="207">
        <v>-844007.3600000001</v>
      </c>
      <c r="BR130" s="207">
        <v>-70084.70936955605</v>
      </c>
      <c r="BS130" s="207">
        <v>1240823</v>
      </c>
      <c r="BT130" s="207">
        <v>412341</v>
      </c>
      <c r="BU130" s="207">
        <v>713439.9012823217</v>
      </c>
      <c r="BV130" s="207">
        <v>8667.180460595026</v>
      </c>
      <c r="BW130" s="207">
        <v>-59692.6854276775</v>
      </c>
      <c r="BX130" s="207">
        <v>360453.8116336227</v>
      </c>
      <c r="BY130" s="207">
        <v>779973.237662184</v>
      </c>
      <c r="BZ130" s="207">
        <v>1391968.517984017</v>
      </c>
      <c r="CA130" s="207">
        <v>350090.31404010975</v>
      </c>
      <c r="CB130" s="207">
        <v>658548.9317850033</v>
      </c>
      <c r="CC130" s="207">
        <v>1784.79</v>
      </c>
      <c r="CD130" s="207">
        <v>-71237.50563507101</v>
      </c>
      <c r="CE130" s="207">
        <v>702035.3648192594</v>
      </c>
      <c r="CF130" s="207">
        <v>-1898000.1162898582</v>
      </c>
      <c r="CG130" s="207">
        <v>808166.0998238863</v>
      </c>
      <c r="CH130" s="207">
        <v>876151.2333106281</v>
      </c>
      <c r="CI130" s="207">
        <v>0</v>
      </c>
      <c r="CJ130" s="207">
        <v>-171456.7504691643</v>
      </c>
      <c r="CK130" s="207">
        <v>-1531665</v>
      </c>
      <c r="CL130" s="207">
        <v>729691.68</v>
      </c>
      <c r="CM130" s="207">
        <v>1313513.194</v>
      </c>
      <c r="CN130" s="207">
        <v>-583821.5139999999</v>
      </c>
      <c r="CO130" s="207">
        <v>16127359.871934332</v>
      </c>
      <c r="CP130" s="207">
        <v>19837440.46097093</v>
      </c>
      <c r="CQ130" s="207">
        <v>19596</v>
      </c>
    </row>
    <row r="131" spans="1:95" ht="11.25">
      <c r="A131" s="207">
        <v>425</v>
      </c>
      <c r="B131" s="207" t="s">
        <v>188</v>
      </c>
      <c r="C131" s="207">
        <v>10161</v>
      </c>
      <c r="D131" s="207">
        <v>44946540.04000001</v>
      </c>
      <c r="E131" s="207">
        <v>7438985.875047712</v>
      </c>
      <c r="F131" s="207">
        <v>1205446.2445398553</v>
      </c>
      <c r="G131" s="207">
        <v>53590972.15958758</v>
      </c>
      <c r="H131" s="207">
        <v>3664.46</v>
      </c>
      <c r="I131" s="207">
        <v>37234578.06</v>
      </c>
      <c r="J131" s="207">
        <v>16356394.099587575</v>
      </c>
      <c r="K131" s="207">
        <v>110777.58737185855</v>
      </c>
      <c r="L131" s="207">
        <v>-829369.76531957</v>
      </c>
      <c r="M131" s="207">
        <v>0</v>
      </c>
      <c r="N131" s="207">
        <v>15637801.921639863</v>
      </c>
      <c r="O131" s="207">
        <v>7243988.638552469</v>
      </c>
      <c r="P131" s="207">
        <v>22881790.56019233</v>
      </c>
      <c r="Q131" s="207">
        <v>1143</v>
      </c>
      <c r="R131" s="207">
        <v>268</v>
      </c>
      <c r="S131" s="207">
        <v>1468</v>
      </c>
      <c r="T131" s="207">
        <v>676</v>
      </c>
      <c r="U131" s="207">
        <v>587</v>
      </c>
      <c r="V131" s="207">
        <v>5012</v>
      </c>
      <c r="W131" s="207">
        <v>588</v>
      </c>
      <c r="X131" s="207">
        <v>298</v>
      </c>
      <c r="Y131" s="207">
        <v>121</v>
      </c>
      <c r="Z131" s="207">
        <v>10</v>
      </c>
      <c r="AA131" s="207">
        <v>2</v>
      </c>
      <c r="AB131" s="207">
        <v>10075</v>
      </c>
      <c r="AC131" s="207">
        <v>74</v>
      </c>
      <c r="AD131" s="207">
        <v>1007</v>
      </c>
      <c r="AE131" s="481">
        <v>0.6196720901362048</v>
      </c>
      <c r="AF131" s="207">
        <v>7438985.875047712</v>
      </c>
      <c r="AG131" s="207" t="e">
        <v>#DIV/0!</v>
      </c>
      <c r="AH131" s="207" t="e">
        <v>#DIV/0!</v>
      </c>
      <c r="AI131" s="207" t="e">
        <v>#DIV/0!</v>
      </c>
      <c r="AJ131" s="175">
        <v>292</v>
      </c>
      <c r="AK131" s="175">
        <v>4252</v>
      </c>
      <c r="AL131" s="175">
        <v>0.7039046504931072</v>
      </c>
      <c r="AM131" s="175">
        <v>74</v>
      </c>
      <c r="AN131" s="175">
        <v>0.007282747761047141</v>
      </c>
      <c r="AO131" s="175">
        <v>0.004001668650584145</v>
      </c>
      <c r="AP131" s="175">
        <v>0</v>
      </c>
      <c r="AQ131" s="175">
        <v>10</v>
      </c>
      <c r="AR131" s="175">
        <v>2</v>
      </c>
      <c r="AS131" s="175">
        <v>0</v>
      </c>
      <c r="AT131" s="175">
        <v>0</v>
      </c>
      <c r="AU131" s="175">
        <v>637.31</v>
      </c>
      <c r="AV131" s="175">
        <v>15.943575340101365</v>
      </c>
      <c r="AW131" s="175">
        <v>1.138422327096287</v>
      </c>
      <c r="AX131" s="175">
        <v>213</v>
      </c>
      <c r="AY131" s="175">
        <v>3410</v>
      </c>
      <c r="AZ131" s="175">
        <v>0.0624633431085044</v>
      </c>
      <c r="BA131" s="175">
        <v>0.0012795070242699047</v>
      </c>
      <c r="BB131" s="175">
        <v>0</v>
      </c>
      <c r="BC131" s="207">
        <v>2194</v>
      </c>
      <c r="BD131" s="175">
        <v>3816</v>
      </c>
      <c r="BE131" s="175">
        <v>0.5749475890985325</v>
      </c>
      <c r="BF131" s="175">
        <v>0.1660407065074394</v>
      </c>
      <c r="BG131" s="175">
        <v>0</v>
      </c>
      <c r="BH131" s="175">
        <v>2</v>
      </c>
      <c r="BI131" s="207">
        <v>0</v>
      </c>
      <c r="BJ131" s="207">
        <v>-2438.64</v>
      </c>
      <c r="BK131" s="207">
        <v>-41660.1</v>
      </c>
      <c r="BL131" s="207">
        <v>-2845.0800000000004</v>
      </c>
      <c r="BM131" s="207">
        <v>0</v>
      </c>
      <c r="BN131" s="207">
        <v>0</v>
      </c>
      <c r="BO131" s="207">
        <v>40867</v>
      </c>
      <c r="BP131" s="207">
        <v>-46472.38882975365</v>
      </c>
      <c r="BQ131" s="207">
        <v>-432452.16000000003</v>
      </c>
      <c r="BR131" s="207">
        <v>-237163.8779362552</v>
      </c>
      <c r="BS131" s="207">
        <v>593519</v>
      </c>
      <c r="BT131" s="207">
        <v>166010</v>
      </c>
      <c r="BU131" s="207">
        <v>333043.6696408922</v>
      </c>
      <c r="BV131" s="207">
        <v>-639.7687502854976</v>
      </c>
      <c r="BW131" s="207">
        <v>-12296.181836887137</v>
      </c>
      <c r="BX131" s="207">
        <v>206898.77974201023</v>
      </c>
      <c r="BY131" s="207">
        <v>384628.31613368576</v>
      </c>
      <c r="BZ131" s="207">
        <v>580936.6325078302</v>
      </c>
      <c r="CA131" s="207">
        <v>119767.59798885522</v>
      </c>
      <c r="CB131" s="207">
        <v>301142.6827639761</v>
      </c>
      <c r="CC131" s="207">
        <v>914.49</v>
      </c>
      <c r="CD131" s="207">
        <v>37961.786778954076</v>
      </c>
      <c r="CE131" s="207">
        <v>323330.6935101839</v>
      </c>
      <c r="CF131" s="207">
        <v>-829369.76531957</v>
      </c>
      <c r="CG131" s="207">
        <v>470691.904667485</v>
      </c>
      <c r="CH131" s="207">
        <v>456092.3860102246</v>
      </c>
      <c r="CI131" s="207">
        <v>0</v>
      </c>
      <c r="CJ131" s="207">
        <v>7243988.638552469</v>
      </c>
      <c r="CK131" s="207">
        <v>139299</v>
      </c>
      <c r="CL131" s="207">
        <v>169334.28000000003</v>
      </c>
      <c r="CM131" s="207">
        <v>151787.322</v>
      </c>
      <c r="CN131" s="207">
        <v>17546.958000000042</v>
      </c>
      <c r="CO131" s="207">
        <v>23021089.56019233</v>
      </c>
      <c r="CP131" s="207">
        <v>24101050.77498963</v>
      </c>
      <c r="CQ131" s="207">
        <v>10133</v>
      </c>
    </row>
    <row r="132" spans="1:95" ht="11.25">
      <c r="A132" s="207">
        <v>426</v>
      </c>
      <c r="B132" s="207" t="s">
        <v>189</v>
      </c>
      <c r="C132" s="207">
        <v>12145</v>
      </c>
      <c r="D132" s="207">
        <v>42687370.059999995</v>
      </c>
      <c r="E132" s="207">
        <v>16313056.860180125</v>
      </c>
      <c r="F132" s="207">
        <v>2296858.4143694267</v>
      </c>
      <c r="G132" s="207">
        <v>61297285.334549546</v>
      </c>
      <c r="H132" s="207">
        <v>3664.46</v>
      </c>
      <c r="I132" s="207">
        <v>44504866.7</v>
      </c>
      <c r="J132" s="207">
        <v>16792418.634549543</v>
      </c>
      <c r="K132" s="207">
        <v>205276.40520215183</v>
      </c>
      <c r="L132" s="207">
        <v>-673370.0153320492</v>
      </c>
      <c r="M132" s="207">
        <v>0</v>
      </c>
      <c r="N132" s="207">
        <v>16324325.024419645</v>
      </c>
      <c r="O132" s="207">
        <v>8937693.45512114</v>
      </c>
      <c r="P132" s="207">
        <v>25262018.479540788</v>
      </c>
      <c r="Q132" s="207">
        <v>822</v>
      </c>
      <c r="R132" s="207">
        <v>164</v>
      </c>
      <c r="S132" s="207">
        <v>966</v>
      </c>
      <c r="T132" s="207">
        <v>424</v>
      </c>
      <c r="U132" s="207">
        <v>401</v>
      </c>
      <c r="V132" s="207">
        <v>6789</v>
      </c>
      <c r="W132" s="207">
        <v>1569</v>
      </c>
      <c r="X132" s="207">
        <v>734</v>
      </c>
      <c r="Y132" s="207">
        <v>276</v>
      </c>
      <c r="Z132" s="207">
        <v>17</v>
      </c>
      <c r="AA132" s="207">
        <v>1</v>
      </c>
      <c r="AB132" s="207">
        <v>11922</v>
      </c>
      <c r="AC132" s="207">
        <v>205</v>
      </c>
      <c r="AD132" s="207">
        <v>2579</v>
      </c>
      <c r="AE132" s="481">
        <v>1.1369005698738759</v>
      </c>
      <c r="AF132" s="207">
        <v>16313056.860180125</v>
      </c>
      <c r="AG132" s="207" t="e">
        <v>#DIV/0!</v>
      </c>
      <c r="AH132" s="207" t="e">
        <v>#DIV/0!</v>
      </c>
      <c r="AI132" s="207" t="e">
        <v>#DIV/0!</v>
      </c>
      <c r="AJ132" s="175">
        <v>585</v>
      </c>
      <c r="AK132" s="175">
        <v>5685</v>
      </c>
      <c r="AL132" s="175">
        <v>1.0547502474244674</v>
      </c>
      <c r="AM132" s="175">
        <v>205</v>
      </c>
      <c r="AN132" s="175">
        <v>0.0168793742280774</v>
      </c>
      <c r="AO132" s="175">
        <v>0.013598295117614404</v>
      </c>
      <c r="AP132" s="175">
        <v>0</v>
      </c>
      <c r="AQ132" s="175">
        <v>17</v>
      </c>
      <c r="AR132" s="175">
        <v>1</v>
      </c>
      <c r="AS132" s="175">
        <v>3</v>
      </c>
      <c r="AT132" s="175">
        <v>496</v>
      </c>
      <c r="AU132" s="175">
        <v>726.87</v>
      </c>
      <c r="AV132" s="175">
        <v>16.708627402424092</v>
      </c>
      <c r="AW132" s="175">
        <v>1.0862964206311698</v>
      </c>
      <c r="AX132" s="175">
        <v>332</v>
      </c>
      <c r="AY132" s="175">
        <v>3853</v>
      </c>
      <c r="AZ132" s="175">
        <v>0.08616662341032962</v>
      </c>
      <c r="BA132" s="175">
        <v>0.024982787326095122</v>
      </c>
      <c r="BB132" s="175">
        <v>0</v>
      </c>
      <c r="BC132" s="207">
        <v>3259</v>
      </c>
      <c r="BD132" s="175">
        <v>4891</v>
      </c>
      <c r="BE132" s="175">
        <v>0.6663259047229605</v>
      </c>
      <c r="BF132" s="175">
        <v>0.2574190221318674</v>
      </c>
      <c r="BG132" s="175">
        <v>0</v>
      </c>
      <c r="BH132" s="175">
        <v>1</v>
      </c>
      <c r="BI132" s="207">
        <v>0</v>
      </c>
      <c r="BJ132" s="207">
        <v>-2914.7999999999997</v>
      </c>
      <c r="BK132" s="207">
        <v>-49794.49999999999</v>
      </c>
      <c r="BL132" s="207">
        <v>-3400.6000000000004</v>
      </c>
      <c r="BM132" s="207">
        <v>0</v>
      </c>
      <c r="BN132" s="207">
        <v>0</v>
      </c>
      <c r="BO132" s="207">
        <v>290281</v>
      </c>
      <c r="BP132" s="207">
        <v>-459009.9454392025</v>
      </c>
      <c r="BQ132" s="207">
        <v>-516891.2</v>
      </c>
      <c r="BR132" s="207">
        <v>172946.06286363304</v>
      </c>
      <c r="BS132" s="207">
        <v>1003309</v>
      </c>
      <c r="BT132" s="207">
        <v>306424</v>
      </c>
      <c r="BU132" s="207">
        <v>750447.3038160001</v>
      </c>
      <c r="BV132" s="207">
        <v>30134.69636581449</v>
      </c>
      <c r="BW132" s="207">
        <v>133757.863734118</v>
      </c>
      <c r="BX132" s="207">
        <v>345272.9908266246</v>
      </c>
      <c r="BY132" s="207">
        <v>626254.9905556756</v>
      </c>
      <c r="BZ132" s="207">
        <v>1002006.8323394094</v>
      </c>
      <c r="CA132" s="207">
        <v>274048.85143614374</v>
      </c>
      <c r="CB132" s="207">
        <v>527260.1509002985</v>
      </c>
      <c r="CC132" s="207">
        <v>1093.05</v>
      </c>
      <c r="CD132" s="207">
        <v>93145.61939131506</v>
      </c>
      <c r="CE132" s="207">
        <v>1107866.0801071532</v>
      </c>
      <c r="CF132" s="207">
        <v>-673370.0153320492</v>
      </c>
      <c r="CG132" s="207">
        <v>538376.797852205</v>
      </c>
      <c r="CH132" s="207">
        <v>738122.286926732</v>
      </c>
      <c r="CI132" s="207">
        <v>0</v>
      </c>
      <c r="CJ132" s="207">
        <v>8937693.45512114</v>
      </c>
      <c r="CK132" s="207">
        <v>-2515540</v>
      </c>
      <c r="CL132" s="207">
        <v>49150.56999999999</v>
      </c>
      <c r="CM132" s="207">
        <v>960253.5272</v>
      </c>
      <c r="CN132" s="207">
        <v>-911102.9572000001</v>
      </c>
      <c r="CO132" s="207">
        <v>22746478.479540788</v>
      </c>
      <c r="CP132" s="207">
        <v>26009392.244408477</v>
      </c>
      <c r="CQ132" s="207">
        <v>12150</v>
      </c>
    </row>
    <row r="133" spans="1:95" ht="11.25">
      <c r="A133" s="207">
        <v>444</v>
      </c>
      <c r="B133" s="207" t="s">
        <v>190</v>
      </c>
      <c r="C133" s="207">
        <v>46296</v>
      </c>
      <c r="D133" s="207">
        <v>162234543.45</v>
      </c>
      <c r="E133" s="207">
        <v>54007409.58245809</v>
      </c>
      <c r="F133" s="207">
        <v>11216240.384374466</v>
      </c>
      <c r="G133" s="207">
        <v>227458193.41683254</v>
      </c>
      <c r="H133" s="207">
        <v>3664.46</v>
      </c>
      <c r="I133" s="207">
        <v>169649840.16</v>
      </c>
      <c r="J133" s="207">
        <v>57808353.25683254</v>
      </c>
      <c r="K133" s="207">
        <v>1182896.0219328087</v>
      </c>
      <c r="L133" s="207">
        <v>-5199032.749895993</v>
      </c>
      <c r="M133" s="207">
        <v>0</v>
      </c>
      <c r="N133" s="207">
        <v>53792216.52886936</v>
      </c>
      <c r="O133" s="207">
        <v>5066846.914684008</v>
      </c>
      <c r="P133" s="207">
        <v>58859063.443553366</v>
      </c>
      <c r="Q133" s="207">
        <v>2477</v>
      </c>
      <c r="R133" s="207">
        <v>530</v>
      </c>
      <c r="S133" s="207">
        <v>3489</v>
      </c>
      <c r="T133" s="207">
        <v>1742</v>
      </c>
      <c r="U133" s="207">
        <v>1732</v>
      </c>
      <c r="V133" s="207">
        <v>25536</v>
      </c>
      <c r="W133" s="207">
        <v>6374</v>
      </c>
      <c r="X133" s="207">
        <v>3268</v>
      </c>
      <c r="Y133" s="207">
        <v>1148</v>
      </c>
      <c r="Z133" s="207">
        <v>1617</v>
      </c>
      <c r="AA133" s="207">
        <v>5</v>
      </c>
      <c r="AB133" s="207">
        <v>42739</v>
      </c>
      <c r="AC133" s="207">
        <v>1935</v>
      </c>
      <c r="AD133" s="207">
        <v>10790</v>
      </c>
      <c r="AE133" s="481">
        <v>0.9874032020086994</v>
      </c>
      <c r="AF133" s="207">
        <v>54007409.58245809</v>
      </c>
      <c r="AG133" s="207" t="e">
        <v>#DIV/0!</v>
      </c>
      <c r="AH133" s="207" t="e">
        <v>#DIV/0!</v>
      </c>
      <c r="AI133" s="207" t="e">
        <v>#DIV/0!</v>
      </c>
      <c r="AJ133" s="175">
        <v>1893</v>
      </c>
      <c r="AK133" s="175">
        <v>22477</v>
      </c>
      <c r="AL133" s="175">
        <v>0.8632498414492558</v>
      </c>
      <c r="AM133" s="175">
        <v>1935</v>
      </c>
      <c r="AN133" s="175">
        <v>0.041796267496111976</v>
      </c>
      <c r="AO133" s="175">
        <v>0.03851518838564898</v>
      </c>
      <c r="AP133" s="175">
        <v>1</v>
      </c>
      <c r="AQ133" s="175">
        <v>1617</v>
      </c>
      <c r="AR133" s="175">
        <v>5</v>
      </c>
      <c r="AS133" s="175">
        <v>0</v>
      </c>
      <c r="AT133" s="175">
        <v>0</v>
      </c>
      <c r="AU133" s="175">
        <v>939.16</v>
      </c>
      <c r="AV133" s="175">
        <v>49.295114783423486</v>
      </c>
      <c r="AW133" s="175">
        <v>0.36820123496328006</v>
      </c>
      <c r="AX133" s="175">
        <v>2459</v>
      </c>
      <c r="AY133" s="175">
        <v>14793</v>
      </c>
      <c r="AZ133" s="175">
        <v>0.16622726965456636</v>
      </c>
      <c r="BA133" s="175">
        <v>0.10504343357033186</v>
      </c>
      <c r="BB133" s="175">
        <v>0</v>
      </c>
      <c r="BC133" s="207">
        <v>15664</v>
      </c>
      <c r="BD133" s="175">
        <v>19628</v>
      </c>
      <c r="BE133" s="175">
        <v>0.7980436111677196</v>
      </c>
      <c r="BF133" s="175">
        <v>0.3891367285766265</v>
      </c>
      <c r="BG133" s="175">
        <v>0</v>
      </c>
      <c r="BH133" s="175">
        <v>5</v>
      </c>
      <c r="BI133" s="207">
        <v>0</v>
      </c>
      <c r="BJ133" s="207">
        <v>-11111.039999999999</v>
      </c>
      <c r="BK133" s="207">
        <v>-189813.59999999998</v>
      </c>
      <c r="BL133" s="207">
        <v>-12962.880000000001</v>
      </c>
      <c r="BM133" s="207">
        <v>0</v>
      </c>
      <c r="BN133" s="207">
        <v>0</v>
      </c>
      <c r="BO133" s="207">
        <v>-48294</v>
      </c>
      <c r="BP133" s="207">
        <v>-2984805.9446942164</v>
      </c>
      <c r="BQ133" s="207">
        <v>-1970357.76</v>
      </c>
      <c r="BR133" s="207">
        <v>624884.9542209012</v>
      </c>
      <c r="BS133" s="207">
        <v>3336584</v>
      </c>
      <c r="BT133" s="207">
        <v>1126591</v>
      </c>
      <c r="BU133" s="207">
        <v>2365028.4992995057</v>
      </c>
      <c r="BV133" s="207">
        <v>53694.91146672505</v>
      </c>
      <c r="BW133" s="207">
        <v>63083.83769646494</v>
      </c>
      <c r="BX133" s="207">
        <v>819845.1466709238</v>
      </c>
      <c r="BY133" s="207">
        <v>2276281.1469600773</v>
      </c>
      <c r="BZ133" s="207">
        <v>3548105.724815218</v>
      </c>
      <c r="CA133" s="207">
        <v>1036342.8025234072</v>
      </c>
      <c r="CB133" s="207">
        <v>1798553.4888966852</v>
      </c>
      <c r="CC133" s="207">
        <v>4166.639999999999</v>
      </c>
      <c r="CD133" s="207">
        <v>201652.59755801904</v>
      </c>
      <c r="CE133" s="207">
        <v>2826018.714798224</v>
      </c>
      <c r="CF133" s="207">
        <v>-5199032.749895993</v>
      </c>
      <c r="CG133" s="207">
        <v>1997775.4830193035</v>
      </c>
      <c r="CH133" s="207">
        <v>2496284.559153716</v>
      </c>
      <c r="CI133" s="207">
        <v>0</v>
      </c>
      <c r="CJ133" s="207">
        <v>5066846.914684008</v>
      </c>
      <c r="CK133" s="207">
        <v>-2104143</v>
      </c>
      <c r="CL133" s="207">
        <v>3658138.5400000014</v>
      </c>
      <c r="CM133" s="207">
        <v>1111811.7979999997</v>
      </c>
      <c r="CN133" s="207">
        <v>2546326.7420000015</v>
      </c>
      <c r="CO133" s="207">
        <v>56754920.443553366</v>
      </c>
      <c r="CP133" s="207">
        <v>66130730.73103589</v>
      </c>
      <c r="CQ133" s="207">
        <v>46785</v>
      </c>
    </row>
    <row r="134" spans="1:95" ht="11.25">
      <c r="A134" s="207">
        <v>430</v>
      </c>
      <c r="B134" s="207" t="s">
        <v>191</v>
      </c>
      <c r="C134" s="207">
        <v>16032</v>
      </c>
      <c r="D134" s="207">
        <v>60413405.86</v>
      </c>
      <c r="E134" s="207">
        <v>22473807.293030348</v>
      </c>
      <c r="F134" s="207">
        <v>3359702.1873821574</v>
      </c>
      <c r="G134" s="207">
        <v>86246915.34041251</v>
      </c>
      <c r="H134" s="207">
        <v>3664.46</v>
      </c>
      <c r="I134" s="207">
        <v>58748622.72</v>
      </c>
      <c r="J134" s="207">
        <v>27498292.620412514</v>
      </c>
      <c r="K134" s="207">
        <v>670266.8214692337</v>
      </c>
      <c r="L134" s="207">
        <v>-1826592.5589709468</v>
      </c>
      <c r="M134" s="207">
        <v>0</v>
      </c>
      <c r="N134" s="207">
        <v>26341966.8829108</v>
      </c>
      <c r="O134" s="207">
        <v>10772031.960169328</v>
      </c>
      <c r="P134" s="207">
        <v>37113998.843080126</v>
      </c>
      <c r="Q134" s="207">
        <v>775</v>
      </c>
      <c r="R134" s="207">
        <v>167</v>
      </c>
      <c r="S134" s="207">
        <v>983</v>
      </c>
      <c r="T134" s="207">
        <v>497</v>
      </c>
      <c r="U134" s="207">
        <v>542</v>
      </c>
      <c r="V134" s="207">
        <v>8358</v>
      </c>
      <c r="W134" s="207">
        <v>2580</v>
      </c>
      <c r="X134" s="207">
        <v>1388</v>
      </c>
      <c r="Y134" s="207">
        <v>742</v>
      </c>
      <c r="Z134" s="207">
        <v>32</v>
      </c>
      <c r="AA134" s="207">
        <v>0</v>
      </c>
      <c r="AB134" s="207">
        <v>15499</v>
      </c>
      <c r="AC134" s="207">
        <v>501</v>
      </c>
      <c r="AD134" s="207">
        <v>4710</v>
      </c>
      <c r="AE134" s="481">
        <v>1.1865160075670713</v>
      </c>
      <c r="AF134" s="207">
        <v>22473807.293030348</v>
      </c>
      <c r="AG134" s="207" t="e">
        <v>#DIV/0!</v>
      </c>
      <c r="AH134" s="207" t="e">
        <v>#DIV/0!</v>
      </c>
      <c r="AI134" s="207" t="e">
        <v>#DIV/0!</v>
      </c>
      <c r="AJ134" s="175">
        <v>585</v>
      </c>
      <c r="AK134" s="175">
        <v>7118</v>
      </c>
      <c r="AL134" s="175">
        <v>0.8424072993267909</v>
      </c>
      <c r="AM134" s="175">
        <v>501</v>
      </c>
      <c r="AN134" s="175">
        <v>0.03125</v>
      </c>
      <c r="AO134" s="175">
        <v>0.027968920889537004</v>
      </c>
      <c r="AP134" s="175">
        <v>0</v>
      </c>
      <c r="AQ134" s="175">
        <v>32</v>
      </c>
      <c r="AR134" s="175">
        <v>0</v>
      </c>
      <c r="AS134" s="175">
        <v>0</v>
      </c>
      <c r="AT134" s="175">
        <v>0</v>
      </c>
      <c r="AU134" s="175">
        <v>848.13</v>
      </c>
      <c r="AV134" s="175">
        <v>18.902762548194264</v>
      </c>
      <c r="AW134" s="175">
        <v>0.9602047369868193</v>
      </c>
      <c r="AX134" s="175">
        <v>691</v>
      </c>
      <c r="AY134" s="175">
        <v>4453</v>
      </c>
      <c r="AZ134" s="175">
        <v>0.1551762856501235</v>
      </c>
      <c r="BA134" s="175">
        <v>0.09399244956588901</v>
      </c>
      <c r="BB134" s="175">
        <v>0</v>
      </c>
      <c r="BC134" s="207">
        <v>6575</v>
      </c>
      <c r="BD134" s="175">
        <v>6288</v>
      </c>
      <c r="BE134" s="175">
        <v>1.0456424936386768</v>
      </c>
      <c r="BF134" s="175">
        <v>0.6367356110475837</v>
      </c>
      <c r="BG134" s="175">
        <v>0</v>
      </c>
      <c r="BH134" s="175">
        <v>0</v>
      </c>
      <c r="BI134" s="207">
        <v>0</v>
      </c>
      <c r="BJ134" s="207">
        <v>-3847.68</v>
      </c>
      <c r="BK134" s="207">
        <v>-65731.2</v>
      </c>
      <c r="BL134" s="207">
        <v>-4488.96</v>
      </c>
      <c r="BM134" s="207">
        <v>0</v>
      </c>
      <c r="BN134" s="207">
        <v>0</v>
      </c>
      <c r="BO134" s="207">
        <v>-167155</v>
      </c>
      <c r="BP134" s="207">
        <v>-766690.2867618972</v>
      </c>
      <c r="BQ134" s="207">
        <v>-682321.92</v>
      </c>
      <c r="BR134" s="207">
        <v>60458.416094228625</v>
      </c>
      <c r="BS134" s="207">
        <v>1444612</v>
      </c>
      <c r="BT134" s="207">
        <v>489811</v>
      </c>
      <c r="BU134" s="207">
        <v>1178579.4314645445</v>
      </c>
      <c r="BV134" s="207">
        <v>63543.66375985808</v>
      </c>
      <c r="BW134" s="207">
        <v>133455.7818774727</v>
      </c>
      <c r="BX134" s="207">
        <v>556060.4030972832</v>
      </c>
      <c r="BY134" s="207">
        <v>920743.5664731952</v>
      </c>
      <c r="BZ134" s="207">
        <v>1523583.406589063</v>
      </c>
      <c r="CA134" s="207">
        <v>452307.5974287652</v>
      </c>
      <c r="CB134" s="207">
        <v>755542.0088893796</v>
      </c>
      <c r="CC134" s="207">
        <v>1442.8799999999999</v>
      </c>
      <c r="CD134" s="207">
        <v>17373.077941068477</v>
      </c>
      <c r="CE134" s="207">
        <v>685501.5677909503</v>
      </c>
      <c r="CF134" s="207">
        <v>-1826592.5589709468</v>
      </c>
      <c r="CG134" s="207">
        <v>757510.5137556533</v>
      </c>
      <c r="CH134" s="207">
        <v>1054380.0198462305</v>
      </c>
      <c r="CI134" s="207">
        <v>0</v>
      </c>
      <c r="CJ134" s="207">
        <v>10772031.960169328</v>
      </c>
      <c r="CK134" s="207">
        <v>-2195250</v>
      </c>
      <c r="CL134" s="207">
        <v>1123509.77</v>
      </c>
      <c r="CM134" s="207">
        <v>370394.8780000001</v>
      </c>
      <c r="CN134" s="207">
        <v>753114.892</v>
      </c>
      <c r="CO134" s="207">
        <v>34918748.843080126</v>
      </c>
      <c r="CP134" s="207">
        <v>39299256.090462536</v>
      </c>
      <c r="CQ134" s="207">
        <v>16150</v>
      </c>
    </row>
    <row r="135" spans="1:95" ht="11.25">
      <c r="A135" s="207">
        <v>433</v>
      </c>
      <c r="B135" s="207" t="s">
        <v>192</v>
      </c>
      <c r="C135" s="207">
        <v>7861</v>
      </c>
      <c r="D135" s="207">
        <v>28821484.019999996</v>
      </c>
      <c r="E135" s="207">
        <v>8419206.362546328</v>
      </c>
      <c r="F135" s="207">
        <v>1372277.1420104357</v>
      </c>
      <c r="G135" s="207">
        <v>38612967.524556756</v>
      </c>
      <c r="H135" s="207">
        <v>3664.46</v>
      </c>
      <c r="I135" s="207">
        <v>28806320.06</v>
      </c>
      <c r="J135" s="207">
        <v>9806647.464556757</v>
      </c>
      <c r="K135" s="207">
        <v>102133.72050167747</v>
      </c>
      <c r="L135" s="207">
        <v>-635611.84955359</v>
      </c>
      <c r="M135" s="207">
        <v>0</v>
      </c>
      <c r="N135" s="207">
        <v>9273169.335504845</v>
      </c>
      <c r="O135" s="207">
        <v>4394190.803881517</v>
      </c>
      <c r="P135" s="207">
        <v>13667360.139386361</v>
      </c>
      <c r="Q135" s="207">
        <v>417</v>
      </c>
      <c r="R135" s="207">
        <v>91</v>
      </c>
      <c r="S135" s="207">
        <v>633</v>
      </c>
      <c r="T135" s="207">
        <v>355</v>
      </c>
      <c r="U135" s="207">
        <v>288</v>
      </c>
      <c r="V135" s="207">
        <v>4131</v>
      </c>
      <c r="W135" s="207">
        <v>1139</v>
      </c>
      <c r="X135" s="207">
        <v>611</v>
      </c>
      <c r="Y135" s="207">
        <v>196</v>
      </c>
      <c r="Z135" s="207">
        <v>37</v>
      </c>
      <c r="AA135" s="207">
        <v>0</v>
      </c>
      <c r="AB135" s="207">
        <v>7663</v>
      </c>
      <c r="AC135" s="207">
        <v>161</v>
      </c>
      <c r="AD135" s="207">
        <v>1946</v>
      </c>
      <c r="AE135" s="481">
        <v>0.9065212974654141</v>
      </c>
      <c r="AF135" s="207">
        <v>8419206.362546328</v>
      </c>
      <c r="AG135" s="207" t="e">
        <v>#DIV/0!</v>
      </c>
      <c r="AH135" s="207" t="e">
        <v>#DIV/0!</v>
      </c>
      <c r="AI135" s="207" t="e">
        <v>#DIV/0!</v>
      </c>
      <c r="AJ135" s="175">
        <v>194</v>
      </c>
      <c r="AK135" s="175">
        <v>3659</v>
      </c>
      <c r="AL135" s="175">
        <v>0.5434549631196095</v>
      </c>
      <c r="AM135" s="175">
        <v>161</v>
      </c>
      <c r="AN135" s="175">
        <v>0.020480854853072127</v>
      </c>
      <c r="AO135" s="175">
        <v>0.01719977574260913</v>
      </c>
      <c r="AP135" s="175">
        <v>0</v>
      </c>
      <c r="AQ135" s="175">
        <v>37</v>
      </c>
      <c r="AR135" s="175">
        <v>0</v>
      </c>
      <c r="AS135" s="175">
        <v>0</v>
      </c>
      <c r="AT135" s="175">
        <v>0</v>
      </c>
      <c r="AU135" s="175">
        <v>597.63</v>
      </c>
      <c r="AV135" s="175">
        <v>13.153623479410337</v>
      </c>
      <c r="AW135" s="175">
        <v>1.3798876157071542</v>
      </c>
      <c r="AX135" s="175">
        <v>378</v>
      </c>
      <c r="AY135" s="175">
        <v>2554</v>
      </c>
      <c r="AZ135" s="175">
        <v>0.1480031323414252</v>
      </c>
      <c r="BA135" s="175">
        <v>0.0868192962571907</v>
      </c>
      <c r="BB135" s="175">
        <v>0</v>
      </c>
      <c r="BC135" s="207">
        <v>2040</v>
      </c>
      <c r="BD135" s="175">
        <v>3362</v>
      </c>
      <c r="BE135" s="175">
        <v>0.6067816775728733</v>
      </c>
      <c r="BF135" s="175">
        <v>0.19787479498178018</v>
      </c>
      <c r="BG135" s="175">
        <v>0</v>
      </c>
      <c r="BH135" s="175">
        <v>0</v>
      </c>
      <c r="BI135" s="207">
        <v>0</v>
      </c>
      <c r="BJ135" s="207">
        <v>-1886.6399999999999</v>
      </c>
      <c r="BK135" s="207">
        <v>-32230.1</v>
      </c>
      <c r="BL135" s="207">
        <v>-2201.0800000000004</v>
      </c>
      <c r="BM135" s="207">
        <v>0</v>
      </c>
      <c r="BN135" s="207">
        <v>0</v>
      </c>
      <c r="BO135" s="207">
        <v>-59608</v>
      </c>
      <c r="BP135" s="207">
        <v>-240430.74920628464</v>
      </c>
      <c r="BQ135" s="207">
        <v>-334564.16000000003</v>
      </c>
      <c r="BR135" s="207">
        <v>177263.44181268103</v>
      </c>
      <c r="BS135" s="207">
        <v>727932</v>
      </c>
      <c r="BT135" s="207">
        <v>226573</v>
      </c>
      <c r="BU135" s="207">
        <v>508996.28072444606</v>
      </c>
      <c r="BV135" s="207">
        <v>13819.042114133674</v>
      </c>
      <c r="BW135" s="207">
        <v>58262.31202182018</v>
      </c>
      <c r="BX135" s="207">
        <v>171978.04434284213</v>
      </c>
      <c r="BY135" s="207">
        <v>428050.0253107906</v>
      </c>
      <c r="BZ135" s="207">
        <v>684417.2779968116</v>
      </c>
      <c r="CA135" s="207">
        <v>200257.29572065148</v>
      </c>
      <c r="CB135" s="207">
        <v>347559.862140443</v>
      </c>
      <c r="CC135" s="207">
        <v>707.49</v>
      </c>
      <c r="CD135" s="207">
        <v>-4638.772412989594</v>
      </c>
      <c r="CE135" s="207">
        <v>460645.96965269465</v>
      </c>
      <c r="CF135" s="207">
        <v>-635611.84955359</v>
      </c>
      <c r="CG135" s="207">
        <v>339139.4202530032</v>
      </c>
      <c r="CH135" s="207">
        <v>496824.68780274293</v>
      </c>
      <c r="CI135" s="207">
        <v>0</v>
      </c>
      <c r="CJ135" s="207">
        <v>4394190.803881517</v>
      </c>
      <c r="CK135" s="207">
        <v>-791621</v>
      </c>
      <c r="CL135" s="207">
        <v>223733.94000000003</v>
      </c>
      <c r="CM135" s="207">
        <v>289817.938</v>
      </c>
      <c r="CN135" s="207">
        <v>-66083.99799999999</v>
      </c>
      <c r="CO135" s="207">
        <v>12875739.139386361</v>
      </c>
      <c r="CP135" s="207">
        <v>15723463.181584885</v>
      </c>
      <c r="CQ135" s="207">
        <v>8028</v>
      </c>
    </row>
    <row r="136" spans="1:95" ht="11.25">
      <c r="A136" s="207">
        <v>434</v>
      </c>
      <c r="B136" s="207" t="s">
        <v>193</v>
      </c>
      <c r="C136" s="207">
        <v>14891</v>
      </c>
      <c r="D136" s="207">
        <v>52273775.37</v>
      </c>
      <c r="E136" s="207">
        <v>18400935.177500747</v>
      </c>
      <c r="F136" s="207">
        <v>5933163.739156516</v>
      </c>
      <c r="G136" s="207">
        <v>76607874.28665726</v>
      </c>
      <c r="H136" s="207">
        <v>3664.46</v>
      </c>
      <c r="I136" s="207">
        <v>54567473.86</v>
      </c>
      <c r="J136" s="207">
        <v>22040400.42665726</v>
      </c>
      <c r="K136" s="207">
        <v>394864.8629521946</v>
      </c>
      <c r="L136" s="207">
        <v>-1476482.7094150302</v>
      </c>
      <c r="M136" s="207">
        <v>0</v>
      </c>
      <c r="N136" s="207">
        <v>20958782.580194425</v>
      </c>
      <c r="O136" s="207">
        <v>1237406.9008968726</v>
      </c>
      <c r="P136" s="207">
        <v>22196189.4810913</v>
      </c>
      <c r="Q136" s="207">
        <v>678</v>
      </c>
      <c r="R136" s="207">
        <v>163</v>
      </c>
      <c r="S136" s="207">
        <v>903</v>
      </c>
      <c r="T136" s="207">
        <v>459</v>
      </c>
      <c r="U136" s="207">
        <v>443</v>
      </c>
      <c r="V136" s="207">
        <v>8050</v>
      </c>
      <c r="W136" s="207">
        <v>2462</v>
      </c>
      <c r="X136" s="207">
        <v>1205</v>
      </c>
      <c r="Y136" s="207">
        <v>528</v>
      </c>
      <c r="Z136" s="207">
        <v>6052</v>
      </c>
      <c r="AA136" s="207">
        <v>0</v>
      </c>
      <c r="AB136" s="207">
        <v>8221</v>
      </c>
      <c r="AC136" s="207">
        <v>618</v>
      </c>
      <c r="AD136" s="207">
        <v>4195</v>
      </c>
      <c r="AE136" s="481">
        <v>1.0459253405164866</v>
      </c>
      <c r="AF136" s="207">
        <v>18400935.177500747</v>
      </c>
      <c r="AG136" s="207" t="e">
        <v>#DIV/0!</v>
      </c>
      <c r="AH136" s="207" t="e">
        <v>#DIV/0!</v>
      </c>
      <c r="AI136" s="207" t="e">
        <v>#DIV/0!</v>
      </c>
      <c r="AJ136" s="175">
        <v>691</v>
      </c>
      <c r="AK136" s="175">
        <v>6862</v>
      </c>
      <c r="AL136" s="175">
        <v>1.0321708089431443</v>
      </c>
      <c r="AM136" s="175">
        <v>618</v>
      </c>
      <c r="AN136" s="175">
        <v>0.04150157813444362</v>
      </c>
      <c r="AO136" s="175">
        <v>0.03822049902398062</v>
      </c>
      <c r="AP136" s="175">
        <v>1</v>
      </c>
      <c r="AQ136" s="175">
        <v>6052</v>
      </c>
      <c r="AR136" s="175">
        <v>0</v>
      </c>
      <c r="AS136" s="175">
        <v>3</v>
      </c>
      <c r="AT136" s="175">
        <v>729</v>
      </c>
      <c r="AU136" s="175">
        <v>819.76</v>
      </c>
      <c r="AV136" s="175">
        <v>18.16507270420611</v>
      </c>
      <c r="AW136" s="175">
        <v>0.9991989812796307</v>
      </c>
      <c r="AX136" s="175">
        <v>795</v>
      </c>
      <c r="AY136" s="175">
        <v>4499</v>
      </c>
      <c r="AZ136" s="175">
        <v>0.17670593465214493</v>
      </c>
      <c r="BA136" s="175">
        <v>0.11552209856791043</v>
      </c>
      <c r="BB136" s="175">
        <v>0</v>
      </c>
      <c r="BC136" s="207">
        <v>4879</v>
      </c>
      <c r="BD136" s="175">
        <v>6003</v>
      </c>
      <c r="BE136" s="175">
        <v>0.8127602865234049</v>
      </c>
      <c r="BF136" s="175">
        <v>0.40385340393231184</v>
      </c>
      <c r="BG136" s="175">
        <v>0</v>
      </c>
      <c r="BH136" s="175">
        <v>0</v>
      </c>
      <c r="BI136" s="207">
        <v>0</v>
      </c>
      <c r="BJ136" s="207">
        <v>-3573.8399999999997</v>
      </c>
      <c r="BK136" s="207">
        <v>-61053.09999999999</v>
      </c>
      <c r="BL136" s="207">
        <v>-4169.4800000000005</v>
      </c>
      <c r="BM136" s="207">
        <v>0</v>
      </c>
      <c r="BN136" s="207">
        <v>0</v>
      </c>
      <c r="BO136" s="207">
        <v>195042</v>
      </c>
      <c r="BP136" s="207">
        <v>-842504.3541706363</v>
      </c>
      <c r="BQ136" s="207">
        <v>-633760.9600000001</v>
      </c>
      <c r="BR136" s="207">
        <v>298338.15703547</v>
      </c>
      <c r="BS136" s="207">
        <v>1210696</v>
      </c>
      <c r="BT136" s="207">
        <v>410614</v>
      </c>
      <c r="BU136" s="207">
        <v>925084.892934011</v>
      </c>
      <c r="BV136" s="207">
        <v>34547.96240556766</v>
      </c>
      <c r="BW136" s="207">
        <v>125012.20418803902</v>
      </c>
      <c r="BX136" s="207">
        <v>361109.1862352993</v>
      </c>
      <c r="BY136" s="207">
        <v>740508.550524073</v>
      </c>
      <c r="BZ136" s="207">
        <v>1231942.1627163913</v>
      </c>
      <c r="CA136" s="207">
        <v>383704.22232368414</v>
      </c>
      <c r="CB136" s="207">
        <v>648453.9828344403</v>
      </c>
      <c r="CC136" s="207">
        <v>1340.19</v>
      </c>
      <c r="CD136" s="207">
        <v>-195108.0074741348</v>
      </c>
      <c r="CE136" s="207">
        <v>987204.8147556061</v>
      </c>
      <c r="CF136" s="207">
        <v>-1476482.7094150302</v>
      </c>
      <c r="CG136" s="207">
        <v>672850.385194271</v>
      </c>
      <c r="CH136" s="207">
        <v>895920.0870564245</v>
      </c>
      <c r="CI136" s="207">
        <v>0</v>
      </c>
      <c r="CJ136" s="207">
        <v>1237406.9008968726</v>
      </c>
      <c r="CK136" s="207">
        <v>-908364</v>
      </c>
      <c r="CL136" s="207">
        <v>949267.25</v>
      </c>
      <c r="CM136" s="207">
        <v>331415.272</v>
      </c>
      <c r="CN136" s="207">
        <v>617851.978</v>
      </c>
      <c r="CO136" s="207">
        <v>21287825.4810913</v>
      </c>
      <c r="CP136" s="207">
        <v>24286695.417760834</v>
      </c>
      <c r="CQ136" s="207">
        <v>15085</v>
      </c>
    </row>
    <row r="137" spans="1:95" ht="11.25">
      <c r="A137" s="207">
        <v>435</v>
      </c>
      <c r="B137" s="207" t="s">
        <v>194</v>
      </c>
      <c r="C137" s="207">
        <v>707</v>
      </c>
      <c r="D137" s="207">
        <v>2745474.38</v>
      </c>
      <c r="E137" s="207">
        <v>1222106.8152577009</v>
      </c>
      <c r="F137" s="207">
        <v>360007.6314947502</v>
      </c>
      <c r="G137" s="207">
        <v>4327588.826752451</v>
      </c>
      <c r="H137" s="207">
        <v>3664.46</v>
      </c>
      <c r="I137" s="207">
        <v>2590773.22</v>
      </c>
      <c r="J137" s="207">
        <v>1736815.606752451</v>
      </c>
      <c r="K137" s="207">
        <v>75368.23687796279</v>
      </c>
      <c r="L137" s="207">
        <v>166784.38395769516</v>
      </c>
      <c r="M137" s="207">
        <v>0</v>
      </c>
      <c r="N137" s="207">
        <v>1978968.227588109</v>
      </c>
      <c r="O137" s="207">
        <v>518175.6050506057</v>
      </c>
      <c r="P137" s="207">
        <v>2497143.8326387145</v>
      </c>
      <c r="Q137" s="207">
        <v>22</v>
      </c>
      <c r="R137" s="207">
        <v>6</v>
      </c>
      <c r="S137" s="207">
        <v>28</v>
      </c>
      <c r="T137" s="207">
        <v>15</v>
      </c>
      <c r="U137" s="207">
        <v>17</v>
      </c>
      <c r="V137" s="207">
        <v>321</v>
      </c>
      <c r="W137" s="207">
        <v>157</v>
      </c>
      <c r="X137" s="207">
        <v>99</v>
      </c>
      <c r="Y137" s="207">
        <v>42</v>
      </c>
      <c r="Z137" s="207">
        <v>0</v>
      </c>
      <c r="AA137" s="207">
        <v>0</v>
      </c>
      <c r="AB137" s="207">
        <v>703</v>
      </c>
      <c r="AC137" s="207">
        <v>4</v>
      </c>
      <c r="AD137" s="207">
        <v>298</v>
      </c>
      <c r="AE137" s="481">
        <v>1.4631013316323185</v>
      </c>
      <c r="AF137" s="207">
        <v>1222106.8152577009</v>
      </c>
      <c r="AG137" s="207" t="e">
        <v>#DIV/0!</v>
      </c>
      <c r="AH137" s="207" t="e">
        <v>#DIV/0!</v>
      </c>
      <c r="AI137" s="207" t="e">
        <v>#DIV/0!</v>
      </c>
      <c r="AJ137" s="175">
        <v>27</v>
      </c>
      <c r="AK137" s="175">
        <v>281</v>
      </c>
      <c r="AL137" s="175">
        <v>0.9848762918053268</v>
      </c>
      <c r="AM137" s="175">
        <v>4</v>
      </c>
      <c r="AN137" s="175">
        <v>0.005657708628005658</v>
      </c>
      <c r="AO137" s="175">
        <v>0.0023766295175426614</v>
      </c>
      <c r="AP137" s="175">
        <v>0</v>
      </c>
      <c r="AQ137" s="175">
        <v>0</v>
      </c>
      <c r="AR137" s="175">
        <v>0</v>
      </c>
      <c r="AS137" s="175">
        <v>3</v>
      </c>
      <c r="AT137" s="175">
        <v>329</v>
      </c>
      <c r="AU137" s="175">
        <v>214.5</v>
      </c>
      <c r="AV137" s="175">
        <v>3.296037296037296</v>
      </c>
      <c r="AW137" s="175">
        <v>5.506770861705623</v>
      </c>
      <c r="AX137" s="175">
        <v>36</v>
      </c>
      <c r="AY137" s="175">
        <v>170</v>
      </c>
      <c r="AZ137" s="175">
        <v>0.21176470588235294</v>
      </c>
      <c r="BA137" s="175">
        <v>0.15058086979811844</v>
      </c>
      <c r="BB137" s="175">
        <v>0.405533</v>
      </c>
      <c r="BC137" s="207">
        <v>172</v>
      </c>
      <c r="BD137" s="175">
        <v>247</v>
      </c>
      <c r="BE137" s="175">
        <v>0.6963562753036437</v>
      </c>
      <c r="BF137" s="175">
        <v>0.28744939271255066</v>
      </c>
      <c r="BG137" s="175">
        <v>0</v>
      </c>
      <c r="BH137" s="175">
        <v>0</v>
      </c>
      <c r="BI137" s="207">
        <v>0</v>
      </c>
      <c r="BJ137" s="207">
        <v>-169.68</v>
      </c>
      <c r="BK137" s="207">
        <v>-2898.7</v>
      </c>
      <c r="BL137" s="207">
        <v>-197.96</v>
      </c>
      <c r="BM137" s="207">
        <v>0</v>
      </c>
      <c r="BN137" s="207">
        <v>0</v>
      </c>
      <c r="BO137" s="207">
        <v>-1935</v>
      </c>
      <c r="BP137" s="207">
        <v>-4407.639355879914</v>
      </c>
      <c r="BQ137" s="207">
        <v>-30089.920000000002</v>
      </c>
      <c r="BR137" s="207">
        <v>215879.84020721586</v>
      </c>
      <c r="BS137" s="207">
        <v>102847</v>
      </c>
      <c r="BT137" s="207">
        <v>28760</v>
      </c>
      <c r="BU137" s="207">
        <v>66423.33783439497</v>
      </c>
      <c r="BV137" s="207">
        <v>3815.7005838035793</v>
      </c>
      <c r="BW137" s="207">
        <v>10995.240063434358</v>
      </c>
      <c r="BX137" s="207">
        <v>27136.50793780879</v>
      </c>
      <c r="BY137" s="207">
        <v>33965.03785684048</v>
      </c>
      <c r="BZ137" s="207">
        <v>51871.14596685789</v>
      </c>
      <c r="CA137" s="207">
        <v>18718.73228490653</v>
      </c>
      <c r="CB137" s="207">
        <v>34500.188558972826</v>
      </c>
      <c r="CC137" s="207">
        <v>63.629999999999995</v>
      </c>
      <c r="CD137" s="207">
        <v>-4554.693056604385</v>
      </c>
      <c r="CE137" s="207">
        <v>248163.11331357507</v>
      </c>
      <c r="CF137" s="207">
        <v>166784.38395769516</v>
      </c>
      <c r="CG137" s="207">
        <v>38009.40616296358</v>
      </c>
      <c r="CH137" s="207">
        <v>46756.10106130278</v>
      </c>
      <c r="CI137" s="207">
        <v>76582.8310426264</v>
      </c>
      <c r="CJ137" s="207">
        <v>518175.6050506057</v>
      </c>
      <c r="CK137" s="207">
        <v>-174284</v>
      </c>
      <c r="CL137" s="207">
        <v>103754.74</v>
      </c>
      <c r="CM137" s="207">
        <v>163608.00000000003</v>
      </c>
      <c r="CN137" s="207">
        <v>-59853.260000000024</v>
      </c>
      <c r="CO137" s="207">
        <v>2322859.8326387145</v>
      </c>
      <c r="CP137" s="207">
        <v>2847123.956556869</v>
      </c>
      <c r="CQ137" s="207">
        <v>734</v>
      </c>
    </row>
    <row r="138" spans="1:95" ht="11.25">
      <c r="A138" s="207">
        <v>436</v>
      </c>
      <c r="B138" s="207" t="s">
        <v>195</v>
      </c>
      <c r="C138" s="207">
        <v>2052</v>
      </c>
      <c r="D138" s="207">
        <v>8885655.66</v>
      </c>
      <c r="E138" s="207">
        <v>2170412.232948475</v>
      </c>
      <c r="F138" s="207">
        <v>393786.29737408523</v>
      </c>
      <c r="G138" s="207">
        <v>11449854.19032256</v>
      </c>
      <c r="H138" s="207">
        <v>3664.46</v>
      </c>
      <c r="I138" s="207">
        <v>7519471.92</v>
      </c>
      <c r="J138" s="207">
        <v>3930382.2703225594</v>
      </c>
      <c r="K138" s="207">
        <v>30815.644251516118</v>
      </c>
      <c r="L138" s="207">
        <v>-103951.10628574705</v>
      </c>
      <c r="M138" s="207">
        <v>0</v>
      </c>
      <c r="N138" s="207">
        <v>3857246.8082883283</v>
      </c>
      <c r="O138" s="207">
        <v>2113648.095337672</v>
      </c>
      <c r="P138" s="207">
        <v>5970894.9036260005</v>
      </c>
      <c r="Q138" s="207">
        <v>194</v>
      </c>
      <c r="R138" s="207">
        <v>39</v>
      </c>
      <c r="S138" s="207">
        <v>268</v>
      </c>
      <c r="T138" s="207">
        <v>130</v>
      </c>
      <c r="U138" s="207">
        <v>91</v>
      </c>
      <c r="V138" s="207">
        <v>968</v>
      </c>
      <c r="W138" s="207">
        <v>215</v>
      </c>
      <c r="X138" s="207">
        <v>110</v>
      </c>
      <c r="Y138" s="207">
        <v>37</v>
      </c>
      <c r="Z138" s="207">
        <v>3</v>
      </c>
      <c r="AA138" s="207">
        <v>0</v>
      </c>
      <c r="AB138" s="207">
        <v>2031</v>
      </c>
      <c r="AC138" s="207">
        <v>18</v>
      </c>
      <c r="AD138" s="207">
        <v>362</v>
      </c>
      <c r="AE138" s="481">
        <v>0.8952607106048426</v>
      </c>
      <c r="AF138" s="207">
        <v>2170412.232948475</v>
      </c>
      <c r="AG138" s="207" t="e">
        <v>#DIV/0!</v>
      </c>
      <c r="AH138" s="207" t="e">
        <v>#DIV/0!</v>
      </c>
      <c r="AI138" s="207" t="e">
        <v>#DIV/0!</v>
      </c>
      <c r="AJ138" s="175">
        <v>78</v>
      </c>
      <c r="AK138" s="175">
        <v>821</v>
      </c>
      <c r="AL138" s="175">
        <v>0.9738132613249043</v>
      </c>
      <c r="AM138" s="175">
        <v>18</v>
      </c>
      <c r="AN138" s="175">
        <v>0.008771929824561403</v>
      </c>
      <c r="AO138" s="175">
        <v>0.0054908507140984065</v>
      </c>
      <c r="AP138" s="175">
        <v>0</v>
      </c>
      <c r="AQ138" s="175">
        <v>3</v>
      </c>
      <c r="AR138" s="175">
        <v>0</v>
      </c>
      <c r="AS138" s="175">
        <v>0</v>
      </c>
      <c r="AT138" s="175">
        <v>0</v>
      </c>
      <c r="AU138" s="175">
        <v>213.87</v>
      </c>
      <c r="AV138" s="175">
        <v>9.594613550287558</v>
      </c>
      <c r="AW138" s="175">
        <v>1.8917408237217834</v>
      </c>
      <c r="AX138" s="175">
        <v>57</v>
      </c>
      <c r="AY138" s="175">
        <v>568</v>
      </c>
      <c r="AZ138" s="175">
        <v>0.10035211267605634</v>
      </c>
      <c r="BA138" s="175">
        <v>0.03916827659182185</v>
      </c>
      <c r="BB138" s="175">
        <v>0</v>
      </c>
      <c r="BC138" s="207">
        <v>461</v>
      </c>
      <c r="BD138" s="175">
        <v>723</v>
      </c>
      <c r="BE138" s="175">
        <v>0.6376210235131397</v>
      </c>
      <c r="BF138" s="175">
        <v>0.22871414092204656</v>
      </c>
      <c r="BG138" s="175">
        <v>0</v>
      </c>
      <c r="BH138" s="175">
        <v>0</v>
      </c>
      <c r="BI138" s="207">
        <v>0</v>
      </c>
      <c r="BJ138" s="207">
        <v>-492.47999999999996</v>
      </c>
      <c r="BK138" s="207">
        <v>-8413.199999999999</v>
      </c>
      <c r="BL138" s="207">
        <v>-574.5600000000001</v>
      </c>
      <c r="BM138" s="207">
        <v>0</v>
      </c>
      <c r="BN138" s="207">
        <v>0</v>
      </c>
      <c r="BO138" s="207">
        <v>27057</v>
      </c>
      <c r="BP138" s="207">
        <v>-17238.42060772748</v>
      </c>
      <c r="BQ138" s="207">
        <v>-87333.12000000001</v>
      </c>
      <c r="BR138" s="207">
        <v>-8187.144025707617</v>
      </c>
      <c r="BS138" s="207">
        <v>152295</v>
      </c>
      <c r="BT138" s="207">
        <v>45371</v>
      </c>
      <c r="BU138" s="207">
        <v>119780.92998940397</v>
      </c>
      <c r="BV138" s="207">
        <v>4609.6513827783165</v>
      </c>
      <c r="BW138" s="207">
        <v>6310.905657128428</v>
      </c>
      <c r="BX138" s="207">
        <v>59475.10213118984</v>
      </c>
      <c r="BY138" s="207">
        <v>96539.81285947633</v>
      </c>
      <c r="BZ138" s="207">
        <v>158323.6257132645</v>
      </c>
      <c r="CA138" s="207">
        <v>36220.49153380224</v>
      </c>
      <c r="CB138" s="207">
        <v>79665.9346530349</v>
      </c>
      <c r="CC138" s="207">
        <v>184.68</v>
      </c>
      <c r="CD138" s="207">
        <v>15037.957041734993</v>
      </c>
      <c r="CE138" s="207">
        <v>136688.55432198042</v>
      </c>
      <c r="CF138" s="207">
        <v>-103951.10628574705</v>
      </c>
      <c r="CG138" s="207">
        <v>100564.58130595303</v>
      </c>
      <c r="CH138" s="207">
        <v>115692.49359361439</v>
      </c>
      <c r="CI138" s="207">
        <v>0</v>
      </c>
      <c r="CJ138" s="207">
        <v>2113648.095337672</v>
      </c>
      <c r="CK138" s="207">
        <v>-355571</v>
      </c>
      <c r="CL138" s="207">
        <v>31358.2</v>
      </c>
      <c r="CM138" s="207">
        <v>149278.666</v>
      </c>
      <c r="CN138" s="207">
        <v>-117920.466</v>
      </c>
      <c r="CO138" s="207">
        <v>5615323.9036260005</v>
      </c>
      <c r="CP138" s="207">
        <v>6048315.964198585</v>
      </c>
      <c r="CQ138" s="207">
        <v>2081</v>
      </c>
    </row>
    <row r="139" spans="1:95" ht="11.25">
      <c r="A139" s="207">
        <v>440</v>
      </c>
      <c r="B139" s="207" t="s">
        <v>196</v>
      </c>
      <c r="C139" s="207">
        <v>5340</v>
      </c>
      <c r="D139" s="207">
        <v>22901961.799999997</v>
      </c>
      <c r="E139" s="207">
        <v>3771402.055649678</v>
      </c>
      <c r="F139" s="207">
        <v>2494869.829182853</v>
      </c>
      <c r="G139" s="207">
        <v>29168233.68483253</v>
      </c>
      <c r="H139" s="207">
        <v>3664.46</v>
      </c>
      <c r="I139" s="207">
        <v>19568216.4</v>
      </c>
      <c r="J139" s="207">
        <v>9600017.28483253</v>
      </c>
      <c r="K139" s="207">
        <v>16363.227024566797</v>
      </c>
      <c r="L139" s="207">
        <v>-403491.4295467328</v>
      </c>
      <c r="M139" s="207">
        <v>0</v>
      </c>
      <c r="N139" s="207">
        <v>9212889.082310364</v>
      </c>
      <c r="O139" s="207">
        <v>4343825.164628517</v>
      </c>
      <c r="P139" s="207">
        <v>13556714.24693888</v>
      </c>
      <c r="Q139" s="207">
        <v>643</v>
      </c>
      <c r="R139" s="207">
        <v>104</v>
      </c>
      <c r="S139" s="207">
        <v>623</v>
      </c>
      <c r="T139" s="207">
        <v>290</v>
      </c>
      <c r="U139" s="207">
        <v>258</v>
      </c>
      <c r="V139" s="207">
        <v>2652</v>
      </c>
      <c r="W139" s="207">
        <v>450</v>
      </c>
      <c r="X139" s="207">
        <v>215</v>
      </c>
      <c r="Y139" s="207">
        <v>105</v>
      </c>
      <c r="Z139" s="207">
        <v>4915</v>
      </c>
      <c r="AA139" s="207">
        <v>0</v>
      </c>
      <c r="AB139" s="207">
        <v>308</v>
      </c>
      <c r="AC139" s="207">
        <v>117</v>
      </c>
      <c r="AD139" s="207">
        <v>770</v>
      </c>
      <c r="AE139" s="481">
        <v>0.5977866745110358</v>
      </c>
      <c r="AF139" s="207">
        <v>3771402.055649678</v>
      </c>
      <c r="AG139" s="207" t="e">
        <v>#DIV/0!</v>
      </c>
      <c r="AH139" s="207" t="e">
        <v>#DIV/0!</v>
      </c>
      <c r="AI139" s="207" t="e">
        <v>#DIV/0!</v>
      </c>
      <c r="AJ139" s="175">
        <v>61</v>
      </c>
      <c r="AK139" s="175">
        <v>2305</v>
      </c>
      <c r="AL139" s="175">
        <v>0.2712583677646839</v>
      </c>
      <c r="AM139" s="175">
        <v>117</v>
      </c>
      <c r="AN139" s="175">
        <v>0.021910112359550562</v>
      </c>
      <c r="AO139" s="175">
        <v>0.018629033249087566</v>
      </c>
      <c r="AP139" s="175">
        <v>3</v>
      </c>
      <c r="AQ139" s="175">
        <v>4915</v>
      </c>
      <c r="AR139" s="175">
        <v>0</v>
      </c>
      <c r="AS139" s="175">
        <v>3</v>
      </c>
      <c r="AT139" s="175">
        <v>2043</v>
      </c>
      <c r="AU139" s="175">
        <v>142.45</v>
      </c>
      <c r="AV139" s="175">
        <v>37.48683748683749</v>
      </c>
      <c r="AW139" s="175">
        <v>0.48418387246686917</v>
      </c>
      <c r="AX139" s="175">
        <v>137</v>
      </c>
      <c r="AY139" s="175">
        <v>1406</v>
      </c>
      <c r="AZ139" s="175">
        <v>0.09743954480796586</v>
      </c>
      <c r="BA139" s="175">
        <v>0.03625570872373137</v>
      </c>
      <c r="BB139" s="175">
        <v>0</v>
      </c>
      <c r="BC139" s="207">
        <v>1005</v>
      </c>
      <c r="BD139" s="175">
        <v>2206</v>
      </c>
      <c r="BE139" s="175">
        <v>0.4555757026291931</v>
      </c>
      <c r="BF139" s="175">
        <v>0.04666882003810002</v>
      </c>
      <c r="BG139" s="175">
        <v>0</v>
      </c>
      <c r="BH139" s="175">
        <v>0</v>
      </c>
      <c r="BI139" s="207">
        <v>0</v>
      </c>
      <c r="BJ139" s="207">
        <v>-1281.6</v>
      </c>
      <c r="BK139" s="207">
        <v>-21893.999999999996</v>
      </c>
      <c r="BL139" s="207">
        <v>-1495.2</v>
      </c>
      <c r="BM139" s="207">
        <v>0</v>
      </c>
      <c r="BN139" s="207">
        <v>0</v>
      </c>
      <c r="BO139" s="207">
        <v>-43352</v>
      </c>
      <c r="BP139" s="207">
        <v>-47124.56000826012</v>
      </c>
      <c r="BQ139" s="207">
        <v>-227270.40000000002</v>
      </c>
      <c r="BR139" s="207">
        <v>14361.762467931956</v>
      </c>
      <c r="BS139" s="207">
        <v>333918</v>
      </c>
      <c r="BT139" s="207">
        <v>115068</v>
      </c>
      <c r="BU139" s="207">
        <v>264249.4247212743</v>
      </c>
      <c r="BV139" s="207">
        <v>8620.971730934089</v>
      </c>
      <c r="BW139" s="207">
        <v>32415.934720927144</v>
      </c>
      <c r="BX139" s="207">
        <v>138524.35282339575</v>
      </c>
      <c r="BY139" s="207">
        <v>269394.57623006677</v>
      </c>
      <c r="BZ139" s="207">
        <v>333512.1917080896</v>
      </c>
      <c r="CA139" s="207">
        <v>102423.60818471834</v>
      </c>
      <c r="CB139" s="207">
        <v>201379.02455617866</v>
      </c>
      <c r="CC139" s="207">
        <v>480.59999999999997</v>
      </c>
      <c r="CD139" s="207">
        <v>-7963.932646833914</v>
      </c>
      <c r="CE139" s="207">
        <v>224998.9304615274</v>
      </c>
      <c r="CF139" s="207">
        <v>-403491.4295467328</v>
      </c>
      <c r="CG139" s="207">
        <v>256185.90064042935</v>
      </c>
      <c r="CH139" s="207">
        <v>302954.99972562585</v>
      </c>
      <c r="CI139" s="207">
        <v>0</v>
      </c>
      <c r="CJ139" s="207">
        <v>4343825.164628517</v>
      </c>
      <c r="CK139" s="207">
        <v>-1182380</v>
      </c>
      <c r="CL139" s="207">
        <v>32721.600000000002</v>
      </c>
      <c r="CM139" s="207">
        <v>219780.08000000002</v>
      </c>
      <c r="CN139" s="207">
        <v>-187058.48</v>
      </c>
      <c r="CO139" s="207">
        <v>12374334.24693888</v>
      </c>
      <c r="CP139" s="207">
        <v>12914917.305437827</v>
      </c>
      <c r="CQ139" s="207">
        <v>5264</v>
      </c>
    </row>
    <row r="140" spans="1:95" ht="11.25">
      <c r="A140" s="207">
        <v>441</v>
      </c>
      <c r="B140" s="207" t="s">
        <v>197</v>
      </c>
      <c r="C140" s="207">
        <v>4662</v>
      </c>
      <c r="D140" s="207">
        <v>17545585.259999998</v>
      </c>
      <c r="E140" s="207">
        <v>6457279.138746917</v>
      </c>
      <c r="F140" s="207">
        <v>1358451.7267676957</v>
      </c>
      <c r="G140" s="207">
        <v>25361316.12551461</v>
      </c>
      <c r="H140" s="207">
        <v>3664.46</v>
      </c>
      <c r="I140" s="207">
        <v>17083712.52</v>
      </c>
      <c r="J140" s="207">
        <v>8277603.605514612</v>
      </c>
      <c r="K140" s="207">
        <v>367533.4706761157</v>
      </c>
      <c r="L140" s="207">
        <v>-338437.0742712166</v>
      </c>
      <c r="M140" s="207">
        <v>0</v>
      </c>
      <c r="N140" s="207">
        <v>8306700.001919512</v>
      </c>
      <c r="O140" s="207">
        <v>2549260.6462086057</v>
      </c>
      <c r="P140" s="207">
        <v>10855960.648128118</v>
      </c>
      <c r="Q140" s="207">
        <v>180</v>
      </c>
      <c r="R140" s="207">
        <v>38</v>
      </c>
      <c r="S140" s="207">
        <v>273</v>
      </c>
      <c r="T140" s="207">
        <v>136</v>
      </c>
      <c r="U140" s="207">
        <v>146</v>
      </c>
      <c r="V140" s="207">
        <v>2331</v>
      </c>
      <c r="W140" s="207">
        <v>849</v>
      </c>
      <c r="X140" s="207">
        <v>485</v>
      </c>
      <c r="Y140" s="207">
        <v>224</v>
      </c>
      <c r="Z140" s="207">
        <v>16</v>
      </c>
      <c r="AA140" s="207">
        <v>0</v>
      </c>
      <c r="AB140" s="207">
        <v>4489</v>
      </c>
      <c r="AC140" s="207">
        <v>157</v>
      </c>
      <c r="AD140" s="207">
        <v>1558</v>
      </c>
      <c r="AE140" s="481">
        <v>1.1723625717118575</v>
      </c>
      <c r="AF140" s="207">
        <v>6457279.138746917</v>
      </c>
      <c r="AG140" s="207" t="e">
        <v>#DIV/0!</v>
      </c>
      <c r="AH140" s="207" t="e">
        <v>#DIV/0!</v>
      </c>
      <c r="AI140" s="207" t="e">
        <v>#DIV/0!</v>
      </c>
      <c r="AJ140" s="175">
        <v>187</v>
      </c>
      <c r="AK140" s="175">
        <v>2059</v>
      </c>
      <c r="AL140" s="175">
        <v>0.9309138651537874</v>
      </c>
      <c r="AM140" s="175">
        <v>157</v>
      </c>
      <c r="AN140" s="175">
        <v>0.03367653367653368</v>
      </c>
      <c r="AO140" s="175">
        <v>0.030395454566070682</v>
      </c>
      <c r="AP140" s="175">
        <v>0</v>
      </c>
      <c r="AQ140" s="175">
        <v>16</v>
      </c>
      <c r="AR140" s="175">
        <v>0</v>
      </c>
      <c r="AS140" s="175">
        <v>0</v>
      </c>
      <c r="AT140" s="175">
        <v>0</v>
      </c>
      <c r="AU140" s="175">
        <v>750.06</v>
      </c>
      <c r="AV140" s="175">
        <v>6.215502759779218</v>
      </c>
      <c r="AW140" s="175">
        <v>2.9202017668411266</v>
      </c>
      <c r="AX140" s="175">
        <v>165</v>
      </c>
      <c r="AY140" s="175">
        <v>1252</v>
      </c>
      <c r="AZ140" s="175">
        <v>0.13178913738019168</v>
      </c>
      <c r="BA140" s="175">
        <v>0.07060530129595718</v>
      </c>
      <c r="BB140" s="175">
        <v>0.250666</v>
      </c>
      <c r="BC140" s="207">
        <v>1395</v>
      </c>
      <c r="BD140" s="175">
        <v>1780</v>
      </c>
      <c r="BE140" s="175">
        <v>0.7837078651685393</v>
      </c>
      <c r="BF140" s="175">
        <v>0.3748009825774462</v>
      </c>
      <c r="BG140" s="175">
        <v>0</v>
      </c>
      <c r="BH140" s="175">
        <v>0</v>
      </c>
      <c r="BI140" s="207">
        <v>0</v>
      </c>
      <c r="BJ140" s="207">
        <v>-1118.8799999999999</v>
      </c>
      <c r="BK140" s="207">
        <v>-19114.199999999997</v>
      </c>
      <c r="BL140" s="207">
        <v>-1305.3600000000001</v>
      </c>
      <c r="BM140" s="207">
        <v>0</v>
      </c>
      <c r="BN140" s="207">
        <v>0</v>
      </c>
      <c r="BO140" s="207">
        <v>97180</v>
      </c>
      <c r="BP140" s="207">
        <v>-150702.19715113463</v>
      </c>
      <c r="BQ140" s="207">
        <v>-198414.72</v>
      </c>
      <c r="BR140" s="207">
        <v>-3537.7496837247163</v>
      </c>
      <c r="BS140" s="207">
        <v>440971</v>
      </c>
      <c r="BT140" s="207">
        <v>142817</v>
      </c>
      <c r="BU140" s="207">
        <v>344336.52454953437</v>
      </c>
      <c r="BV140" s="207">
        <v>17832.943227524513</v>
      </c>
      <c r="BW140" s="207">
        <v>59729.45641819508</v>
      </c>
      <c r="BX140" s="207">
        <v>158241.6708336102</v>
      </c>
      <c r="BY140" s="207">
        <v>262569.6459401098</v>
      </c>
      <c r="BZ140" s="207">
        <v>409634.62053091574</v>
      </c>
      <c r="CA140" s="207">
        <v>124770.503660501</v>
      </c>
      <c r="CB140" s="207">
        <v>219985.4825288346</v>
      </c>
      <c r="CC140" s="207">
        <v>419.58</v>
      </c>
      <c r="CD140" s="207">
        <v>-1609.7209362484864</v>
      </c>
      <c r="CE140" s="207">
        <v>319817.06287991797</v>
      </c>
      <c r="CF140" s="207">
        <v>-338437.0742712166</v>
      </c>
      <c r="CG140" s="207">
        <v>222749.57349989115</v>
      </c>
      <c r="CH140" s="207">
        <v>312086.38358053763</v>
      </c>
      <c r="CI140" s="207">
        <v>0</v>
      </c>
      <c r="CJ140" s="207">
        <v>2549260.6462086057</v>
      </c>
      <c r="CK140" s="207">
        <v>-549256</v>
      </c>
      <c r="CL140" s="207">
        <v>13634</v>
      </c>
      <c r="CM140" s="207">
        <v>144343.15800000002</v>
      </c>
      <c r="CN140" s="207">
        <v>-130709.15800000002</v>
      </c>
      <c r="CO140" s="207">
        <v>10306704.648128118</v>
      </c>
      <c r="CP140" s="207">
        <v>11764554.753040321</v>
      </c>
      <c r="CQ140" s="207">
        <v>4747</v>
      </c>
    </row>
    <row r="141" spans="1:95" ht="11.25">
      <c r="A141" s="207">
        <v>475</v>
      </c>
      <c r="B141" s="207" t="s">
        <v>198</v>
      </c>
      <c r="C141" s="207">
        <v>5477</v>
      </c>
      <c r="D141" s="207">
        <v>20431388.64</v>
      </c>
      <c r="E141" s="207">
        <v>6028152.536236328</v>
      </c>
      <c r="F141" s="207">
        <v>4787263.674186187</v>
      </c>
      <c r="G141" s="207">
        <v>31246804.850422516</v>
      </c>
      <c r="H141" s="207">
        <v>3664.46</v>
      </c>
      <c r="I141" s="207">
        <v>20070247.42</v>
      </c>
      <c r="J141" s="207">
        <v>11176557.430422515</v>
      </c>
      <c r="K141" s="207">
        <v>120508.58971528201</v>
      </c>
      <c r="L141" s="207">
        <v>-396633.02996673674</v>
      </c>
      <c r="M141" s="207">
        <v>0</v>
      </c>
      <c r="N141" s="207">
        <v>10900432.99017106</v>
      </c>
      <c r="O141" s="207">
        <v>3002924.394766395</v>
      </c>
      <c r="P141" s="207">
        <v>13903357.384937454</v>
      </c>
      <c r="Q141" s="207">
        <v>309</v>
      </c>
      <c r="R141" s="207">
        <v>50</v>
      </c>
      <c r="S141" s="207">
        <v>373</v>
      </c>
      <c r="T141" s="207">
        <v>142</v>
      </c>
      <c r="U141" s="207">
        <v>166</v>
      </c>
      <c r="V141" s="207">
        <v>2912</v>
      </c>
      <c r="W141" s="207">
        <v>788</v>
      </c>
      <c r="X141" s="207">
        <v>504</v>
      </c>
      <c r="Y141" s="207">
        <v>233</v>
      </c>
      <c r="Z141" s="207">
        <v>4669</v>
      </c>
      <c r="AA141" s="207">
        <v>0</v>
      </c>
      <c r="AB141" s="207">
        <v>534</v>
      </c>
      <c r="AC141" s="207">
        <v>274</v>
      </c>
      <c r="AD141" s="207">
        <v>1525</v>
      </c>
      <c r="AE141" s="481">
        <v>0.9315928477326032</v>
      </c>
      <c r="AF141" s="207">
        <v>6028152.536236328</v>
      </c>
      <c r="AG141" s="207" t="e">
        <v>#DIV/0!</v>
      </c>
      <c r="AH141" s="207" t="e">
        <v>#DIV/0!</v>
      </c>
      <c r="AI141" s="207" t="e">
        <v>#DIV/0!</v>
      </c>
      <c r="AJ141" s="175">
        <v>142</v>
      </c>
      <c r="AK141" s="175">
        <v>2599</v>
      </c>
      <c r="AL141" s="175">
        <v>0.5600235674064975</v>
      </c>
      <c r="AM141" s="175">
        <v>274</v>
      </c>
      <c r="AN141" s="175">
        <v>0.050027387255796966</v>
      </c>
      <c r="AO141" s="175">
        <v>0.04674630814533397</v>
      </c>
      <c r="AP141" s="175">
        <v>3</v>
      </c>
      <c r="AQ141" s="175">
        <v>4669</v>
      </c>
      <c r="AR141" s="175">
        <v>0</v>
      </c>
      <c r="AS141" s="175">
        <v>1</v>
      </c>
      <c r="AT141" s="175">
        <v>0</v>
      </c>
      <c r="AU141" s="175">
        <v>521.75</v>
      </c>
      <c r="AV141" s="175">
        <v>10.497364638236704</v>
      </c>
      <c r="AW141" s="175">
        <v>1.7290551263504559</v>
      </c>
      <c r="AX141" s="175">
        <v>200</v>
      </c>
      <c r="AY141" s="175">
        <v>1576</v>
      </c>
      <c r="AZ141" s="175">
        <v>0.12690355329949238</v>
      </c>
      <c r="BA141" s="175">
        <v>0.06571971721525788</v>
      </c>
      <c r="BB141" s="175">
        <v>0</v>
      </c>
      <c r="BC141" s="207">
        <v>1738</v>
      </c>
      <c r="BD141" s="175">
        <v>2336</v>
      </c>
      <c r="BE141" s="175">
        <v>0.7440068493150684</v>
      </c>
      <c r="BF141" s="175">
        <v>0.33509996672397535</v>
      </c>
      <c r="BG141" s="175">
        <v>0</v>
      </c>
      <c r="BH141" s="175">
        <v>0</v>
      </c>
      <c r="BI141" s="207">
        <v>0</v>
      </c>
      <c r="BJ141" s="207">
        <v>-1314.48</v>
      </c>
      <c r="BK141" s="207">
        <v>-22455.699999999997</v>
      </c>
      <c r="BL141" s="207">
        <v>-1533.5600000000002</v>
      </c>
      <c r="BM141" s="207">
        <v>0</v>
      </c>
      <c r="BN141" s="207">
        <v>0</v>
      </c>
      <c r="BO141" s="207">
        <v>-140850</v>
      </c>
      <c r="BP141" s="207">
        <v>-24920.345668064954</v>
      </c>
      <c r="BQ141" s="207">
        <v>-233101.12000000002</v>
      </c>
      <c r="BR141" s="207">
        <v>102448.75923616439</v>
      </c>
      <c r="BS141" s="207">
        <v>527887</v>
      </c>
      <c r="BT141" s="207">
        <v>179692</v>
      </c>
      <c r="BU141" s="207">
        <v>440779.18001771974</v>
      </c>
      <c r="BV141" s="207">
        <v>19590.202182369918</v>
      </c>
      <c r="BW141" s="207">
        <v>73233.53154674625</v>
      </c>
      <c r="BX141" s="207">
        <v>172456.4755134179</v>
      </c>
      <c r="BY141" s="207">
        <v>309448.79501962755</v>
      </c>
      <c r="BZ141" s="207">
        <v>542673.1834396141</v>
      </c>
      <c r="CA141" s="207">
        <v>163920.23664022674</v>
      </c>
      <c r="CB141" s="207">
        <v>270575.7109624512</v>
      </c>
      <c r="CC141" s="207">
        <v>492.93</v>
      </c>
      <c r="CD141" s="207">
        <v>-17387.697660890735</v>
      </c>
      <c r="CE141" s="207">
        <v>224568.30570132827</v>
      </c>
      <c r="CF141" s="207">
        <v>-396633.02996673674</v>
      </c>
      <c r="CG141" s="207">
        <v>274442.0841260546</v>
      </c>
      <c r="CH141" s="207">
        <v>392247.8862060062</v>
      </c>
      <c r="CI141" s="207">
        <v>0</v>
      </c>
      <c r="CJ141" s="207">
        <v>3002924.394766395</v>
      </c>
      <c r="CK141" s="207">
        <v>114771</v>
      </c>
      <c r="CL141" s="207">
        <v>625868.77</v>
      </c>
      <c r="CM141" s="207">
        <v>182395.652</v>
      </c>
      <c r="CN141" s="207">
        <v>443473.118</v>
      </c>
      <c r="CO141" s="207">
        <v>14018128.384937454</v>
      </c>
      <c r="CP141" s="207">
        <v>16515834.849587327</v>
      </c>
      <c r="CQ141" s="207">
        <v>5477</v>
      </c>
    </row>
    <row r="142" spans="1:95" ht="11.25">
      <c r="A142" s="207">
        <v>480</v>
      </c>
      <c r="B142" s="207" t="s">
        <v>199</v>
      </c>
      <c r="C142" s="207">
        <v>2018</v>
      </c>
      <c r="D142" s="207">
        <v>7253513.08</v>
      </c>
      <c r="E142" s="207">
        <v>2518598.9712868943</v>
      </c>
      <c r="F142" s="207">
        <v>447560.6244392031</v>
      </c>
      <c r="G142" s="207">
        <v>10219672.675726097</v>
      </c>
      <c r="H142" s="207">
        <v>3664.46</v>
      </c>
      <c r="I142" s="207">
        <v>7394880.28</v>
      </c>
      <c r="J142" s="207">
        <v>2824792.395726097</v>
      </c>
      <c r="K142" s="207">
        <v>33489.486153846156</v>
      </c>
      <c r="L142" s="207">
        <v>-203321.39894678665</v>
      </c>
      <c r="M142" s="207">
        <v>0</v>
      </c>
      <c r="N142" s="207">
        <v>2654960.482933156</v>
      </c>
      <c r="O142" s="207">
        <v>1323736.9575398543</v>
      </c>
      <c r="P142" s="207">
        <v>3978697.4404730108</v>
      </c>
      <c r="Q142" s="207">
        <v>110</v>
      </c>
      <c r="R142" s="207">
        <v>38</v>
      </c>
      <c r="S142" s="207">
        <v>141</v>
      </c>
      <c r="T142" s="207">
        <v>54</v>
      </c>
      <c r="U142" s="207">
        <v>59</v>
      </c>
      <c r="V142" s="207">
        <v>1072</v>
      </c>
      <c r="W142" s="207">
        <v>313</v>
      </c>
      <c r="X142" s="207">
        <v>165</v>
      </c>
      <c r="Y142" s="207">
        <v>66</v>
      </c>
      <c r="Z142" s="207">
        <v>21</v>
      </c>
      <c r="AA142" s="207">
        <v>0</v>
      </c>
      <c r="AB142" s="207">
        <v>1947</v>
      </c>
      <c r="AC142" s="207">
        <v>50</v>
      </c>
      <c r="AD142" s="207">
        <v>544</v>
      </c>
      <c r="AE142" s="481">
        <v>1.0563856986670912</v>
      </c>
      <c r="AF142" s="207">
        <v>2518598.9712868943</v>
      </c>
      <c r="AG142" s="207" t="e">
        <v>#DIV/0!</v>
      </c>
      <c r="AH142" s="207" t="e">
        <v>#DIV/0!</v>
      </c>
      <c r="AI142" s="207" t="e">
        <v>#DIV/0!</v>
      </c>
      <c r="AJ142" s="175">
        <v>63</v>
      </c>
      <c r="AK142" s="175">
        <v>886</v>
      </c>
      <c r="AL142" s="175">
        <v>0.7288380985632347</v>
      </c>
      <c r="AM142" s="175">
        <v>50</v>
      </c>
      <c r="AN142" s="175">
        <v>0.024777006937561942</v>
      </c>
      <c r="AO142" s="175">
        <v>0.021495927827098946</v>
      </c>
      <c r="AP142" s="175">
        <v>0</v>
      </c>
      <c r="AQ142" s="175">
        <v>21</v>
      </c>
      <c r="AR142" s="175">
        <v>0</v>
      </c>
      <c r="AS142" s="175">
        <v>0</v>
      </c>
      <c r="AT142" s="175">
        <v>0</v>
      </c>
      <c r="AU142" s="175">
        <v>195.31</v>
      </c>
      <c r="AV142" s="175">
        <v>10.332292253340842</v>
      </c>
      <c r="AW142" s="175">
        <v>1.7566791275231672</v>
      </c>
      <c r="AX142" s="175">
        <v>100</v>
      </c>
      <c r="AY142" s="175">
        <v>609</v>
      </c>
      <c r="AZ142" s="175">
        <v>0.16420361247947454</v>
      </c>
      <c r="BA142" s="175">
        <v>0.10301977639524004</v>
      </c>
      <c r="BB142" s="175">
        <v>0</v>
      </c>
      <c r="BC142" s="207">
        <v>528</v>
      </c>
      <c r="BD142" s="175">
        <v>798</v>
      </c>
      <c r="BE142" s="175">
        <v>0.6616541353383458</v>
      </c>
      <c r="BF142" s="175">
        <v>0.25274725274725274</v>
      </c>
      <c r="BG142" s="175">
        <v>0</v>
      </c>
      <c r="BH142" s="175">
        <v>0</v>
      </c>
      <c r="BI142" s="207">
        <v>0</v>
      </c>
      <c r="BJ142" s="207">
        <v>-484.32</v>
      </c>
      <c r="BK142" s="207">
        <v>-8273.8</v>
      </c>
      <c r="BL142" s="207">
        <v>-565.0400000000001</v>
      </c>
      <c r="BM142" s="207">
        <v>0</v>
      </c>
      <c r="BN142" s="207">
        <v>0</v>
      </c>
      <c r="BO142" s="207">
        <v>-23633</v>
      </c>
      <c r="BP142" s="207">
        <v>-57679.77228122514</v>
      </c>
      <c r="BQ142" s="207">
        <v>-85886.08</v>
      </c>
      <c r="BR142" s="207">
        <v>-2801.1581095047295</v>
      </c>
      <c r="BS142" s="207">
        <v>189435</v>
      </c>
      <c r="BT142" s="207">
        <v>64417</v>
      </c>
      <c r="BU142" s="207">
        <v>154742.8346528901</v>
      </c>
      <c r="BV142" s="207">
        <v>7161.85268333947</v>
      </c>
      <c r="BW142" s="207">
        <v>25643.29382656168</v>
      </c>
      <c r="BX142" s="207">
        <v>61135.430983444574</v>
      </c>
      <c r="BY142" s="207">
        <v>131032.9521289443</v>
      </c>
      <c r="BZ142" s="207">
        <v>184634.59575103052</v>
      </c>
      <c r="CA142" s="207">
        <v>58231.54700398651</v>
      </c>
      <c r="CB142" s="207">
        <v>97282.76340994959</v>
      </c>
      <c r="CC142" s="207">
        <v>181.62</v>
      </c>
      <c r="CD142" s="207">
        <v>8552.909385261857</v>
      </c>
      <c r="CE142" s="207">
        <v>74058.03333443847</v>
      </c>
      <c r="CF142" s="207">
        <v>-203321.39894678665</v>
      </c>
      <c r="CG142" s="207">
        <v>89759.84205868134</v>
      </c>
      <c r="CH142" s="207">
        <v>141338.6107768426</v>
      </c>
      <c r="CI142" s="207">
        <v>0</v>
      </c>
      <c r="CJ142" s="207">
        <v>1323736.9575398543</v>
      </c>
      <c r="CK142" s="207">
        <v>-331133</v>
      </c>
      <c r="CL142" s="207">
        <v>0</v>
      </c>
      <c r="CM142" s="207">
        <v>629890.8</v>
      </c>
      <c r="CN142" s="207">
        <v>-629890.8</v>
      </c>
      <c r="CO142" s="207">
        <v>3647564.4404730108</v>
      </c>
      <c r="CP142" s="207">
        <v>4448394.151073288</v>
      </c>
      <c r="CQ142" s="207">
        <v>1988</v>
      </c>
    </row>
    <row r="143" spans="1:95" ht="11.25">
      <c r="A143" s="207">
        <v>481</v>
      </c>
      <c r="B143" s="207" t="s">
        <v>200</v>
      </c>
      <c r="C143" s="207">
        <v>9554</v>
      </c>
      <c r="D143" s="207">
        <v>34510953.81999999</v>
      </c>
      <c r="E143" s="207">
        <v>7479956.126182301</v>
      </c>
      <c r="F143" s="207">
        <v>948166.1452152468</v>
      </c>
      <c r="G143" s="207">
        <v>42939076.09139754</v>
      </c>
      <c r="H143" s="207">
        <v>3664.46</v>
      </c>
      <c r="I143" s="207">
        <v>35010250.84</v>
      </c>
      <c r="J143" s="207">
        <v>7928825.251397535</v>
      </c>
      <c r="K143" s="207">
        <v>62867.5622120458</v>
      </c>
      <c r="L143" s="207">
        <v>-717340.0843922949</v>
      </c>
      <c r="M143" s="207">
        <v>0</v>
      </c>
      <c r="N143" s="207">
        <v>7274352.729217286</v>
      </c>
      <c r="O143" s="207">
        <v>-57244.37358577721</v>
      </c>
      <c r="P143" s="207">
        <v>7217108.355631509</v>
      </c>
      <c r="Q143" s="207">
        <v>668</v>
      </c>
      <c r="R143" s="207">
        <v>135</v>
      </c>
      <c r="S143" s="207">
        <v>878</v>
      </c>
      <c r="T143" s="207">
        <v>430</v>
      </c>
      <c r="U143" s="207">
        <v>401</v>
      </c>
      <c r="V143" s="207">
        <v>5314</v>
      </c>
      <c r="W143" s="207">
        <v>1067</v>
      </c>
      <c r="X143" s="207">
        <v>494</v>
      </c>
      <c r="Y143" s="207">
        <v>167</v>
      </c>
      <c r="Z143" s="207">
        <v>101</v>
      </c>
      <c r="AA143" s="207">
        <v>0</v>
      </c>
      <c r="AB143" s="207">
        <v>9295</v>
      </c>
      <c r="AC143" s="207">
        <v>158</v>
      </c>
      <c r="AD143" s="207">
        <v>1728</v>
      </c>
      <c r="AE143" s="481">
        <v>0.6626717654344978</v>
      </c>
      <c r="AF143" s="207">
        <v>7479956.126182301</v>
      </c>
      <c r="AG143" s="207" t="e">
        <v>#DIV/0!</v>
      </c>
      <c r="AH143" s="207" t="e">
        <v>#DIV/0!</v>
      </c>
      <c r="AI143" s="207" t="e">
        <v>#DIV/0!</v>
      </c>
      <c r="AJ143" s="175">
        <v>250</v>
      </c>
      <c r="AK143" s="175">
        <v>4830</v>
      </c>
      <c r="AL143" s="175">
        <v>0.5305387585256055</v>
      </c>
      <c r="AM143" s="175">
        <v>158</v>
      </c>
      <c r="AN143" s="175">
        <v>0.016537575884446307</v>
      </c>
      <c r="AO143" s="175">
        <v>0.013256496773983311</v>
      </c>
      <c r="AP143" s="175">
        <v>0</v>
      </c>
      <c r="AQ143" s="175">
        <v>101</v>
      </c>
      <c r="AR143" s="175">
        <v>0</v>
      </c>
      <c r="AS143" s="175">
        <v>0</v>
      </c>
      <c r="AT143" s="175">
        <v>0</v>
      </c>
      <c r="AU143" s="175">
        <v>174.75</v>
      </c>
      <c r="AV143" s="175">
        <v>54.67238912732475</v>
      </c>
      <c r="AW143" s="175">
        <v>0.3319869943609563</v>
      </c>
      <c r="AX143" s="175">
        <v>304</v>
      </c>
      <c r="AY143" s="175">
        <v>3455</v>
      </c>
      <c r="AZ143" s="175">
        <v>0.08798842257597685</v>
      </c>
      <c r="BA143" s="175">
        <v>0.026804586491742353</v>
      </c>
      <c r="BB143" s="175">
        <v>0</v>
      </c>
      <c r="BC143" s="207">
        <v>2260</v>
      </c>
      <c r="BD143" s="175">
        <v>4439</v>
      </c>
      <c r="BE143" s="175">
        <v>0.509123676503717</v>
      </c>
      <c r="BF143" s="175">
        <v>0.10021679391262395</v>
      </c>
      <c r="BG143" s="175">
        <v>0</v>
      </c>
      <c r="BH143" s="175">
        <v>0</v>
      </c>
      <c r="BI143" s="207">
        <v>0</v>
      </c>
      <c r="BJ143" s="207">
        <v>-2292.96</v>
      </c>
      <c r="BK143" s="207">
        <v>-39171.399999999994</v>
      </c>
      <c r="BL143" s="207">
        <v>-2675.1200000000003</v>
      </c>
      <c r="BM143" s="207">
        <v>0</v>
      </c>
      <c r="BN143" s="207">
        <v>0</v>
      </c>
      <c r="BO143" s="207">
        <v>36413</v>
      </c>
      <c r="BP143" s="207">
        <v>-100980.67573100302</v>
      </c>
      <c r="BQ143" s="207">
        <v>-406618.24000000005</v>
      </c>
      <c r="BR143" s="207">
        <v>32000.689960744232</v>
      </c>
      <c r="BS143" s="207">
        <v>621436</v>
      </c>
      <c r="BT143" s="207">
        <v>207148</v>
      </c>
      <c r="BU143" s="207">
        <v>331328.82182197727</v>
      </c>
      <c r="BV143" s="207">
        <v>-3308.595417114833</v>
      </c>
      <c r="BW143" s="207">
        <v>-53204.678997454095</v>
      </c>
      <c r="BX143" s="207">
        <v>172834.1055396685</v>
      </c>
      <c r="BY143" s="207">
        <v>408529.98781932035</v>
      </c>
      <c r="BZ143" s="207">
        <v>752960.6109749416</v>
      </c>
      <c r="CA143" s="207">
        <v>181718.37970835684</v>
      </c>
      <c r="CB143" s="207">
        <v>322529.81921711017</v>
      </c>
      <c r="CC143" s="207">
        <v>859.86</v>
      </c>
      <c r="CD143" s="207">
        <v>-32083.263849012423</v>
      </c>
      <c r="CE143" s="207">
        <v>423784.57133870816</v>
      </c>
      <c r="CF143" s="207">
        <v>-717340.0843922949</v>
      </c>
      <c r="CG143" s="207">
        <v>377135.82522697636</v>
      </c>
      <c r="CH143" s="207">
        <v>452714.5427925562</v>
      </c>
      <c r="CI143" s="207">
        <v>0</v>
      </c>
      <c r="CJ143" s="207">
        <v>-57244.37358577721</v>
      </c>
      <c r="CK143" s="207">
        <v>-1725082</v>
      </c>
      <c r="CL143" s="207">
        <v>199056.4</v>
      </c>
      <c r="CM143" s="207">
        <v>516919.4760000001</v>
      </c>
      <c r="CN143" s="207">
        <v>-317863.0760000001</v>
      </c>
      <c r="CO143" s="207">
        <v>5492026.355631509</v>
      </c>
      <c r="CP143" s="207">
        <v>7062148.652323216</v>
      </c>
      <c r="CQ143" s="207">
        <v>9656</v>
      </c>
    </row>
    <row r="144" spans="1:95" ht="11.25">
      <c r="A144" s="207">
        <v>483</v>
      </c>
      <c r="B144" s="207" t="s">
        <v>201</v>
      </c>
      <c r="C144" s="207">
        <v>1104</v>
      </c>
      <c r="D144" s="207">
        <v>4703646.05</v>
      </c>
      <c r="E144" s="207">
        <v>1387343.5322560077</v>
      </c>
      <c r="F144" s="207">
        <v>291227.1837517828</v>
      </c>
      <c r="G144" s="207">
        <v>6382216.76600779</v>
      </c>
      <c r="H144" s="207">
        <v>3664.46</v>
      </c>
      <c r="I144" s="207">
        <v>4045563.84</v>
      </c>
      <c r="J144" s="207">
        <v>2336652.9260077905</v>
      </c>
      <c r="K144" s="207">
        <v>18882.712587774608</v>
      </c>
      <c r="L144" s="207">
        <v>-87063.40232041311</v>
      </c>
      <c r="M144" s="207">
        <v>0</v>
      </c>
      <c r="N144" s="207">
        <v>2268472.2362751523</v>
      </c>
      <c r="O144" s="207">
        <v>1701213.2932623355</v>
      </c>
      <c r="P144" s="207">
        <v>3969685.529537488</v>
      </c>
      <c r="Q144" s="207">
        <v>124</v>
      </c>
      <c r="R144" s="207">
        <v>13</v>
      </c>
      <c r="S144" s="207">
        <v>94</v>
      </c>
      <c r="T144" s="207">
        <v>48</v>
      </c>
      <c r="U144" s="207">
        <v>50</v>
      </c>
      <c r="V144" s="207">
        <v>523</v>
      </c>
      <c r="W144" s="207">
        <v>147</v>
      </c>
      <c r="X144" s="207">
        <v>65</v>
      </c>
      <c r="Y144" s="207">
        <v>40</v>
      </c>
      <c r="Z144" s="207">
        <v>0</v>
      </c>
      <c r="AA144" s="207">
        <v>0</v>
      </c>
      <c r="AB144" s="207">
        <v>1098</v>
      </c>
      <c r="AC144" s="207">
        <v>6</v>
      </c>
      <c r="AD144" s="207">
        <v>252</v>
      </c>
      <c r="AE144" s="481">
        <v>1.0636520802673757</v>
      </c>
      <c r="AF144" s="207">
        <v>1387343.5322560077</v>
      </c>
      <c r="AG144" s="207" t="e">
        <v>#DIV/0!</v>
      </c>
      <c r="AH144" s="207" t="e">
        <v>#DIV/0!</v>
      </c>
      <c r="AI144" s="207" t="e">
        <v>#DIV/0!</v>
      </c>
      <c r="AJ144" s="175">
        <v>32</v>
      </c>
      <c r="AK144" s="175">
        <v>409</v>
      </c>
      <c r="AL144" s="175">
        <v>0.8019566798798785</v>
      </c>
      <c r="AM144" s="175">
        <v>6</v>
      </c>
      <c r="AN144" s="175">
        <v>0.005434782608695652</v>
      </c>
      <c r="AO144" s="175">
        <v>0.0021537034982326555</v>
      </c>
      <c r="AP144" s="175">
        <v>0</v>
      </c>
      <c r="AQ144" s="175">
        <v>0</v>
      </c>
      <c r="AR144" s="175">
        <v>0</v>
      </c>
      <c r="AS144" s="175">
        <v>0</v>
      </c>
      <c r="AT144" s="175">
        <v>0</v>
      </c>
      <c r="AU144" s="175">
        <v>229.94</v>
      </c>
      <c r="AV144" s="175">
        <v>4.801252500652344</v>
      </c>
      <c r="AW144" s="175">
        <v>3.7803723379362086</v>
      </c>
      <c r="AX144" s="175">
        <v>34</v>
      </c>
      <c r="AY144" s="175">
        <v>232</v>
      </c>
      <c r="AZ144" s="175">
        <v>0.14655172413793102</v>
      </c>
      <c r="BA144" s="175">
        <v>0.08536788805369652</v>
      </c>
      <c r="BB144" s="175">
        <v>0</v>
      </c>
      <c r="BC144" s="207">
        <v>245</v>
      </c>
      <c r="BD144" s="175">
        <v>366</v>
      </c>
      <c r="BE144" s="175">
        <v>0.6693989071038251</v>
      </c>
      <c r="BF144" s="175">
        <v>0.260492024512732</v>
      </c>
      <c r="BG144" s="175">
        <v>0</v>
      </c>
      <c r="BH144" s="175">
        <v>0</v>
      </c>
      <c r="BI144" s="207">
        <v>0</v>
      </c>
      <c r="BJ144" s="207">
        <v>-264.96</v>
      </c>
      <c r="BK144" s="207">
        <v>-4526.4</v>
      </c>
      <c r="BL144" s="207">
        <v>-309.12</v>
      </c>
      <c r="BM144" s="207">
        <v>0</v>
      </c>
      <c r="BN144" s="207">
        <v>0</v>
      </c>
      <c r="BO144" s="207">
        <v>-5108</v>
      </c>
      <c r="BP144" s="207">
        <v>-22349.0225369367</v>
      </c>
      <c r="BQ144" s="207">
        <v>-46986.240000000005</v>
      </c>
      <c r="BR144" s="207">
        <v>-2330.2481867615134</v>
      </c>
      <c r="BS144" s="207">
        <v>112571</v>
      </c>
      <c r="BT144" s="207">
        <v>33696</v>
      </c>
      <c r="BU144" s="207">
        <v>92424.51788242359</v>
      </c>
      <c r="BV144" s="207">
        <v>5507.555395064793</v>
      </c>
      <c r="BW144" s="207">
        <v>19154.82272696823</v>
      </c>
      <c r="BX144" s="207">
        <v>43544.673574117616</v>
      </c>
      <c r="BY144" s="207">
        <v>65777.08988297192</v>
      </c>
      <c r="BZ144" s="207">
        <v>103253.28900229663</v>
      </c>
      <c r="CA144" s="207">
        <v>26737.41563920715</v>
      </c>
      <c r="CB144" s="207">
        <v>53503.323978154454</v>
      </c>
      <c r="CC144" s="207">
        <v>99.36</v>
      </c>
      <c r="CD144" s="207">
        <v>5668.733182156559</v>
      </c>
      <c r="CE144" s="207">
        <v>55478.10021652361</v>
      </c>
      <c r="CF144" s="207">
        <v>-87063.40232041311</v>
      </c>
      <c r="CG144" s="207">
        <v>56055.29522112857</v>
      </c>
      <c r="CH144" s="207">
        <v>75002.39308116131</v>
      </c>
      <c r="CI144" s="207">
        <v>0</v>
      </c>
      <c r="CJ144" s="207">
        <v>1701213.2932623355</v>
      </c>
      <c r="CK144" s="207">
        <v>-173573</v>
      </c>
      <c r="CL144" s="207">
        <v>72396.54000000001</v>
      </c>
      <c r="CM144" s="207">
        <v>17724.2</v>
      </c>
      <c r="CN144" s="207">
        <v>54672.34000000001</v>
      </c>
      <c r="CO144" s="207">
        <v>3796112.529537488</v>
      </c>
      <c r="CP144" s="207">
        <v>4141510.668259574</v>
      </c>
      <c r="CQ144" s="207">
        <v>1119</v>
      </c>
    </row>
    <row r="145" spans="1:95" ht="11.25">
      <c r="A145" s="207">
        <v>484</v>
      </c>
      <c r="B145" s="207" t="s">
        <v>202</v>
      </c>
      <c r="C145" s="207">
        <v>3115</v>
      </c>
      <c r="D145" s="207">
        <v>12604553.19</v>
      </c>
      <c r="E145" s="207">
        <v>4358842.073091559</v>
      </c>
      <c r="F145" s="207">
        <v>876032.5488316612</v>
      </c>
      <c r="G145" s="207">
        <v>17839427.811923217</v>
      </c>
      <c r="H145" s="207">
        <v>3664.46</v>
      </c>
      <c r="I145" s="207">
        <v>11414792.9</v>
      </c>
      <c r="J145" s="207">
        <v>6424634.911923217</v>
      </c>
      <c r="K145" s="207">
        <v>496609.47893007286</v>
      </c>
      <c r="L145" s="207">
        <v>26119.481916436634</v>
      </c>
      <c r="M145" s="207">
        <v>0</v>
      </c>
      <c r="N145" s="207">
        <v>6947363.872769726</v>
      </c>
      <c r="O145" s="207">
        <v>2670634.9330552947</v>
      </c>
      <c r="P145" s="207">
        <v>9617998.805825021</v>
      </c>
      <c r="Q145" s="207">
        <v>169</v>
      </c>
      <c r="R145" s="207">
        <v>34</v>
      </c>
      <c r="S145" s="207">
        <v>159</v>
      </c>
      <c r="T145" s="207">
        <v>98</v>
      </c>
      <c r="U145" s="207">
        <v>79</v>
      </c>
      <c r="V145" s="207">
        <v>1511</v>
      </c>
      <c r="W145" s="207">
        <v>556</v>
      </c>
      <c r="X145" s="207">
        <v>329</v>
      </c>
      <c r="Y145" s="207">
        <v>180</v>
      </c>
      <c r="Z145" s="207">
        <v>13</v>
      </c>
      <c r="AA145" s="207">
        <v>0</v>
      </c>
      <c r="AB145" s="207">
        <v>3059</v>
      </c>
      <c r="AC145" s="207">
        <v>43</v>
      </c>
      <c r="AD145" s="207">
        <v>1065</v>
      </c>
      <c r="AE145" s="481">
        <v>1.1843981942344997</v>
      </c>
      <c r="AF145" s="207">
        <v>4358842.073091559</v>
      </c>
      <c r="AG145" s="207" t="e">
        <v>#DIV/0!</v>
      </c>
      <c r="AH145" s="207" t="e">
        <v>#DIV/0!</v>
      </c>
      <c r="AI145" s="207" t="e">
        <v>#DIV/0!</v>
      </c>
      <c r="AJ145" s="175">
        <v>138</v>
      </c>
      <c r="AK145" s="175">
        <v>1250</v>
      </c>
      <c r="AL145" s="175">
        <v>1.1316009731445025</v>
      </c>
      <c r="AM145" s="175">
        <v>43</v>
      </c>
      <c r="AN145" s="175">
        <v>0.013804173354735152</v>
      </c>
      <c r="AO145" s="175">
        <v>0.010523094244272155</v>
      </c>
      <c r="AP145" s="175">
        <v>0</v>
      </c>
      <c r="AQ145" s="175">
        <v>13</v>
      </c>
      <c r="AR145" s="175">
        <v>0</v>
      </c>
      <c r="AS145" s="175">
        <v>0</v>
      </c>
      <c r="AT145" s="175">
        <v>0</v>
      </c>
      <c r="AU145" s="175">
        <v>446.12</v>
      </c>
      <c r="AV145" s="175">
        <v>6.982426253026092</v>
      </c>
      <c r="AW145" s="175">
        <v>2.599457764848855</v>
      </c>
      <c r="AX145" s="175">
        <v>148</v>
      </c>
      <c r="AY145" s="175">
        <v>778</v>
      </c>
      <c r="AZ145" s="175">
        <v>0.19023136246786632</v>
      </c>
      <c r="BA145" s="175">
        <v>0.12904752638363182</v>
      </c>
      <c r="BB145" s="175">
        <v>0.5978</v>
      </c>
      <c r="BC145" s="207">
        <v>896</v>
      </c>
      <c r="BD145" s="175">
        <v>1033</v>
      </c>
      <c r="BE145" s="175">
        <v>0.8673765730880929</v>
      </c>
      <c r="BF145" s="175">
        <v>0.4584696904969998</v>
      </c>
      <c r="BG145" s="175">
        <v>0</v>
      </c>
      <c r="BH145" s="175">
        <v>0</v>
      </c>
      <c r="BI145" s="207">
        <v>0</v>
      </c>
      <c r="BJ145" s="207">
        <v>-747.6</v>
      </c>
      <c r="BK145" s="207">
        <v>-12771.499999999998</v>
      </c>
      <c r="BL145" s="207">
        <v>-872.2</v>
      </c>
      <c r="BM145" s="207">
        <v>0</v>
      </c>
      <c r="BN145" s="207">
        <v>0</v>
      </c>
      <c r="BO145" s="207">
        <v>80593</v>
      </c>
      <c r="BP145" s="207">
        <v>36286.97396274801</v>
      </c>
      <c r="BQ145" s="207">
        <v>-132574.4</v>
      </c>
      <c r="BR145" s="207">
        <v>74367.37922729924</v>
      </c>
      <c r="BS145" s="207">
        <v>331324</v>
      </c>
      <c r="BT145" s="207">
        <v>93113</v>
      </c>
      <c r="BU145" s="207">
        <v>256823.8610218016</v>
      </c>
      <c r="BV145" s="207">
        <v>13951.650723552873</v>
      </c>
      <c r="BW145" s="207">
        <v>22369.26415276425</v>
      </c>
      <c r="BX145" s="207">
        <v>113238.57277297978</v>
      </c>
      <c r="BY145" s="207">
        <v>151607.59694996048</v>
      </c>
      <c r="BZ145" s="207">
        <v>266347.51058556547</v>
      </c>
      <c r="CA145" s="207">
        <v>74204.93166680018</v>
      </c>
      <c r="CB145" s="207">
        <v>134678.30637987037</v>
      </c>
      <c r="CC145" s="207">
        <v>280.34999999999997</v>
      </c>
      <c r="CD145" s="207">
        <v>13953.486607691724</v>
      </c>
      <c r="CE145" s="207">
        <v>328962.55795368855</v>
      </c>
      <c r="CF145" s="207">
        <v>26119.481916436634</v>
      </c>
      <c r="CG145" s="207">
        <v>156684.4921186976</v>
      </c>
      <c r="CH145" s="207">
        <v>189898.37160657498</v>
      </c>
      <c r="CI145" s="207">
        <v>692487.3924837912</v>
      </c>
      <c r="CJ145" s="207">
        <v>2670634.9330552947</v>
      </c>
      <c r="CK145" s="207">
        <v>146333</v>
      </c>
      <c r="CL145" s="207">
        <v>186785.80000000002</v>
      </c>
      <c r="CM145" s="207">
        <v>104981.8</v>
      </c>
      <c r="CN145" s="207">
        <v>81804.00000000001</v>
      </c>
      <c r="CO145" s="207">
        <v>9764331.805825021</v>
      </c>
      <c r="CP145" s="207">
        <v>11423472.746716244</v>
      </c>
      <c r="CQ145" s="207">
        <v>3156</v>
      </c>
    </row>
    <row r="146" spans="1:95" ht="11.25">
      <c r="A146" s="207">
        <v>489</v>
      </c>
      <c r="B146" s="207" t="s">
        <v>203</v>
      </c>
      <c r="C146" s="207">
        <v>1940</v>
      </c>
      <c r="D146" s="207">
        <v>7237169.76</v>
      </c>
      <c r="E146" s="207">
        <v>4171315.1120777847</v>
      </c>
      <c r="F146" s="207">
        <v>744077.6256831227</v>
      </c>
      <c r="G146" s="207">
        <v>12152562.497760909</v>
      </c>
      <c r="H146" s="207">
        <v>3664.46</v>
      </c>
      <c r="I146" s="207">
        <v>7109052.4</v>
      </c>
      <c r="J146" s="207">
        <v>5043510.097760908</v>
      </c>
      <c r="K146" s="207">
        <v>237319.77197169515</v>
      </c>
      <c r="L146" s="207">
        <v>-28640.48730677896</v>
      </c>
      <c r="M146" s="207">
        <v>0</v>
      </c>
      <c r="N146" s="207">
        <v>5252189.382425824</v>
      </c>
      <c r="O146" s="207">
        <v>1840901.842824228</v>
      </c>
      <c r="P146" s="207">
        <v>7093091.225250052</v>
      </c>
      <c r="Q146" s="207">
        <v>55</v>
      </c>
      <c r="R146" s="207">
        <v>12</v>
      </c>
      <c r="S146" s="207">
        <v>96</v>
      </c>
      <c r="T146" s="207">
        <v>56</v>
      </c>
      <c r="U146" s="207">
        <v>62</v>
      </c>
      <c r="V146" s="207">
        <v>951</v>
      </c>
      <c r="W146" s="207">
        <v>379</v>
      </c>
      <c r="X146" s="207">
        <v>232</v>
      </c>
      <c r="Y146" s="207">
        <v>97</v>
      </c>
      <c r="Z146" s="207">
        <v>4</v>
      </c>
      <c r="AA146" s="207">
        <v>0</v>
      </c>
      <c r="AB146" s="207">
        <v>1844</v>
      </c>
      <c r="AC146" s="207">
        <v>92</v>
      </c>
      <c r="AD146" s="207">
        <v>708</v>
      </c>
      <c r="AE146" s="481">
        <v>1.8199351888832151</v>
      </c>
      <c r="AF146" s="207">
        <v>4171315.1120777847</v>
      </c>
      <c r="AG146" s="207" t="e">
        <v>#DIV/0!</v>
      </c>
      <c r="AH146" s="207" t="e">
        <v>#DIV/0!</v>
      </c>
      <c r="AI146" s="207" t="e">
        <v>#DIV/0!</v>
      </c>
      <c r="AJ146" s="175">
        <v>66</v>
      </c>
      <c r="AK146" s="175">
        <v>774</v>
      </c>
      <c r="AL146" s="175">
        <v>0.8740317593942765</v>
      </c>
      <c r="AM146" s="175">
        <v>92</v>
      </c>
      <c r="AN146" s="175">
        <v>0.04742268041237113</v>
      </c>
      <c r="AO146" s="175">
        <v>0.04414160130190813</v>
      </c>
      <c r="AP146" s="175">
        <v>0</v>
      </c>
      <c r="AQ146" s="175">
        <v>4</v>
      </c>
      <c r="AR146" s="175">
        <v>0</v>
      </c>
      <c r="AS146" s="175">
        <v>0</v>
      </c>
      <c r="AT146" s="175">
        <v>0</v>
      </c>
      <c r="AU146" s="175">
        <v>422.47</v>
      </c>
      <c r="AV146" s="175">
        <v>4.592042038487939</v>
      </c>
      <c r="AW146" s="175">
        <v>3.95260365405752</v>
      </c>
      <c r="AX146" s="175">
        <v>111</v>
      </c>
      <c r="AY146" s="175">
        <v>548</v>
      </c>
      <c r="AZ146" s="175">
        <v>0.20255474452554745</v>
      </c>
      <c r="BA146" s="175">
        <v>0.14137090844131295</v>
      </c>
      <c r="BB146" s="175">
        <v>0.467666</v>
      </c>
      <c r="BC146" s="207">
        <v>495</v>
      </c>
      <c r="BD146" s="175">
        <v>677</v>
      </c>
      <c r="BE146" s="175">
        <v>0.7311669128508124</v>
      </c>
      <c r="BF146" s="175">
        <v>0.3222600302597193</v>
      </c>
      <c r="BG146" s="175">
        <v>0</v>
      </c>
      <c r="BH146" s="175">
        <v>0</v>
      </c>
      <c r="BI146" s="207">
        <v>0</v>
      </c>
      <c r="BJ146" s="207">
        <v>-465.59999999999997</v>
      </c>
      <c r="BK146" s="207">
        <v>-7953.999999999999</v>
      </c>
      <c r="BL146" s="207">
        <v>-543.2</v>
      </c>
      <c r="BM146" s="207">
        <v>0</v>
      </c>
      <c r="BN146" s="207">
        <v>0</v>
      </c>
      <c r="BO146" s="207">
        <v>-49160</v>
      </c>
      <c r="BP146" s="207">
        <v>-1600.580639449763</v>
      </c>
      <c r="BQ146" s="207">
        <v>-82566.40000000001</v>
      </c>
      <c r="BR146" s="207">
        <v>129195.3782286048</v>
      </c>
      <c r="BS146" s="207">
        <v>244042</v>
      </c>
      <c r="BT146" s="207">
        <v>68380</v>
      </c>
      <c r="BU146" s="207">
        <v>194514.60255742777</v>
      </c>
      <c r="BV146" s="207">
        <v>9286.78962930894</v>
      </c>
      <c r="BW146" s="207">
        <v>31055.31105772127</v>
      </c>
      <c r="BX146" s="207">
        <v>85533.22699393757</v>
      </c>
      <c r="BY146" s="207">
        <v>101389.57729098982</v>
      </c>
      <c r="BZ146" s="207">
        <v>167634.94692412065</v>
      </c>
      <c r="CA146" s="207">
        <v>52449.19624394667</v>
      </c>
      <c r="CB146" s="207">
        <v>93097.11665887535</v>
      </c>
      <c r="CC146" s="207">
        <v>174.6</v>
      </c>
      <c r="CD146" s="207">
        <v>-4699.1846860089645</v>
      </c>
      <c r="CE146" s="207">
        <v>184167.8933326708</v>
      </c>
      <c r="CF146" s="207">
        <v>-28640.48730677896</v>
      </c>
      <c r="CG146" s="207">
        <v>106736.49979007494</v>
      </c>
      <c r="CH146" s="207">
        <v>139881.72527035806</v>
      </c>
      <c r="CI146" s="207">
        <v>0</v>
      </c>
      <c r="CJ146" s="207">
        <v>1840901.842824228</v>
      </c>
      <c r="CK146" s="207">
        <v>-401497</v>
      </c>
      <c r="CL146" s="207">
        <v>87325.77</v>
      </c>
      <c r="CM146" s="207">
        <v>1273415.6</v>
      </c>
      <c r="CN146" s="207">
        <v>-1186089.83</v>
      </c>
      <c r="CO146" s="207">
        <v>6691594.225250052</v>
      </c>
      <c r="CP146" s="207">
        <v>7689726.514447197</v>
      </c>
      <c r="CQ146" s="207">
        <v>1992</v>
      </c>
    </row>
    <row r="147" spans="1:95" ht="11.25">
      <c r="A147" s="207">
        <v>491</v>
      </c>
      <c r="B147" s="207" t="s">
        <v>204</v>
      </c>
      <c r="C147" s="207">
        <v>53818</v>
      </c>
      <c r="D147" s="207">
        <v>185684645.32</v>
      </c>
      <c r="E147" s="207">
        <v>80466228.07787336</v>
      </c>
      <c r="F147" s="207">
        <v>11992557.14489938</v>
      </c>
      <c r="G147" s="207">
        <v>278143430.5427727</v>
      </c>
      <c r="H147" s="207">
        <v>3664.46</v>
      </c>
      <c r="I147" s="207">
        <v>197213908.28</v>
      </c>
      <c r="J147" s="207">
        <v>80929522.26277271</v>
      </c>
      <c r="K147" s="207">
        <v>2241987.3565710303</v>
      </c>
      <c r="L147" s="207">
        <v>-6017295.213387969</v>
      </c>
      <c r="M147" s="207">
        <v>0</v>
      </c>
      <c r="N147" s="207">
        <v>77154214.40595578</v>
      </c>
      <c r="O147" s="207">
        <v>21994667.250674244</v>
      </c>
      <c r="P147" s="207">
        <v>99148881.65663002</v>
      </c>
      <c r="Q147" s="207">
        <v>2792</v>
      </c>
      <c r="R147" s="207">
        <v>498</v>
      </c>
      <c r="S147" s="207">
        <v>3245</v>
      </c>
      <c r="T147" s="207">
        <v>1652</v>
      </c>
      <c r="U147" s="207">
        <v>1697</v>
      </c>
      <c r="V147" s="207">
        <v>30126</v>
      </c>
      <c r="W147" s="207">
        <v>7817</v>
      </c>
      <c r="X147" s="207">
        <v>4287</v>
      </c>
      <c r="Y147" s="207">
        <v>1704</v>
      </c>
      <c r="Z147" s="207">
        <v>82</v>
      </c>
      <c r="AA147" s="207">
        <v>2</v>
      </c>
      <c r="AB147" s="207">
        <v>51594</v>
      </c>
      <c r="AC147" s="207">
        <v>2140</v>
      </c>
      <c r="AD147" s="207">
        <v>13808</v>
      </c>
      <c r="AE147" s="481">
        <v>1.265525040756328</v>
      </c>
      <c r="AF147" s="207">
        <v>80466228.07787336</v>
      </c>
      <c r="AG147" s="207" t="e">
        <v>#DIV/0!</v>
      </c>
      <c r="AH147" s="207" t="e">
        <v>#DIV/0!</v>
      </c>
      <c r="AI147" s="207" t="e">
        <v>#DIV/0!</v>
      </c>
      <c r="AJ147" s="175">
        <v>2475</v>
      </c>
      <c r="AK147" s="175">
        <v>25133</v>
      </c>
      <c r="AL147" s="175">
        <v>1.0093809659180708</v>
      </c>
      <c r="AM147" s="175">
        <v>2140</v>
      </c>
      <c r="AN147" s="175">
        <v>0.039763647850161656</v>
      </c>
      <c r="AO147" s="175">
        <v>0.036482568739698656</v>
      </c>
      <c r="AP147" s="175">
        <v>0</v>
      </c>
      <c r="AQ147" s="175">
        <v>82</v>
      </c>
      <c r="AR147" s="175">
        <v>2</v>
      </c>
      <c r="AS147" s="175">
        <v>3</v>
      </c>
      <c r="AT147" s="175">
        <v>329</v>
      </c>
      <c r="AU147" s="175">
        <v>2548.36</v>
      </c>
      <c r="AV147" s="175">
        <v>21.118680249258347</v>
      </c>
      <c r="AW147" s="175">
        <v>0.8594534282771097</v>
      </c>
      <c r="AX147" s="175">
        <v>1770</v>
      </c>
      <c r="AY147" s="175">
        <v>15514</v>
      </c>
      <c r="AZ147" s="175">
        <v>0.11409049890421555</v>
      </c>
      <c r="BA147" s="175">
        <v>0.052906662819981055</v>
      </c>
      <c r="BB147" s="175">
        <v>0</v>
      </c>
      <c r="BC147" s="207">
        <v>22543</v>
      </c>
      <c r="BD147" s="175">
        <v>21606</v>
      </c>
      <c r="BE147" s="175">
        <v>1.0433675830787743</v>
      </c>
      <c r="BF147" s="175">
        <v>0.6344607004876812</v>
      </c>
      <c r="BG147" s="175">
        <v>0</v>
      </c>
      <c r="BH147" s="175">
        <v>2</v>
      </c>
      <c r="BI147" s="207">
        <v>0</v>
      </c>
      <c r="BJ147" s="207">
        <v>-12916.32</v>
      </c>
      <c r="BK147" s="207">
        <v>-220653.8</v>
      </c>
      <c r="BL147" s="207">
        <v>-15069.04</v>
      </c>
      <c r="BM147" s="207">
        <v>0</v>
      </c>
      <c r="BN147" s="207">
        <v>0</v>
      </c>
      <c r="BO147" s="207">
        <v>692000</v>
      </c>
      <c r="BP147" s="207">
        <v>-3640124.203665289</v>
      </c>
      <c r="BQ147" s="207">
        <v>-2290494.08</v>
      </c>
      <c r="BR147" s="207">
        <v>23894.41926728841</v>
      </c>
      <c r="BS147" s="207">
        <v>4322833</v>
      </c>
      <c r="BT147" s="207">
        <v>1361978</v>
      </c>
      <c r="BU147" s="207">
        <v>3066998.8023660365</v>
      </c>
      <c r="BV147" s="207">
        <v>122168.39431532685</v>
      </c>
      <c r="BW147" s="207">
        <v>340435.90893708135</v>
      </c>
      <c r="BX147" s="207">
        <v>1609040.7155045995</v>
      </c>
      <c r="BY147" s="207">
        <v>2742251.6253696885</v>
      </c>
      <c r="BZ147" s="207">
        <v>4236835.159566074</v>
      </c>
      <c r="CA147" s="207">
        <v>1338821.7239010881</v>
      </c>
      <c r="CB147" s="207">
        <v>2333577.0332820513</v>
      </c>
      <c r="CC147" s="207">
        <v>4843.62</v>
      </c>
      <c r="CD147" s="207">
        <v>265030.60404663614</v>
      </c>
      <c r="CE147" s="207">
        <v>3481994.650277321</v>
      </c>
      <c r="CF147" s="207">
        <v>-6017295.213387969</v>
      </c>
      <c r="CG147" s="207">
        <v>2442946.1869633966</v>
      </c>
      <c r="CH147" s="207">
        <v>3210337.206481493</v>
      </c>
      <c r="CI147" s="207">
        <v>0</v>
      </c>
      <c r="CJ147" s="207">
        <v>21994667.250674244</v>
      </c>
      <c r="CK147" s="207">
        <v>-3367631</v>
      </c>
      <c r="CL147" s="207">
        <v>857646.7699999997</v>
      </c>
      <c r="CM147" s="207">
        <v>632004.0700000002</v>
      </c>
      <c r="CN147" s="207">
        <v>225642.6999999995</v>
      </c>
      <c r="CO147" s="207">
        <v>95781250.65663002</v>
      </c>
      <c r="CP147" s="207">
        <v>109164803.21211435</v>
      </c>
      <c r="CQ147" s="207">
        <v>54261</v>
      </c>
    </row>
    <row r="148" spans="1:95" ht="11.25">
      <c r="A148" s="207">
        <v>494</v>
      </c>
      <c r="B148" s="207" t="s">
        <v>205</v>
      </c>
      <c r="C148" s="207">
        <v>8980</v>
      </c>
      <c r="D148" s="207">
        <v>36464930.6</v>
      </c>
      <c r="E148" s="207">
        <v>12178578.55463064</v>
      </c>
      <c r="F148" s="207">
        <v>1602582.682587593</v>
      </c>
      <c r="G148" s="207">
        <v>50246091.83721824</v>
      </c>
      <c r="H148" s="207">
        <v>3664.46</v>
      </c>
      <c r="I148" s="207">
        <v>32906850.8</v>
      </c>
      <c r="J148" s="207">
        <v>17339241.03721824</v>
      </c>
      <c r="K148" s="207">
        <v>203071.2260909224</v>
      </c>
      <c r="L148" s="207">
        <v>-1078379.5692776425</v>
      </c>
      <c r="M148" s="207">
        <v>0</v>
      </c>
      <c r="N148" s="207">
        <v>16463932.69403152</v>
      </c>
      <c r="O148" s="207">
        <v>7301778.942163876</v>
      </c>
      <c r="P148" s="207">
        <v>23765711.636195395</v>
      </c>
      <c r="Q148" s="207">
        <v>762</v>
      </c>
      <c r="R148" s="207">
        <v>153</v>
      </c>
      <c r="S148" s="207">
        <v>934</v>
      </c>
      <c r="T148" s="207">
        <v>480</v>
      </c>
      <c r="U148" s="207">
        <v>417</v>
      </c>
      <c r="V148" s="207">
        <v>4685</v>
      </c>
      <c r="W148" s="207">
        <v>867</v>
      </c>
      <c r="X148" s="207">
        <v>459</v>
      </c>
      <c r="Y148" s="207">
        <v>223</v>
      </c>
      <c r="Z148" s="207">
        <v>5</v>
      </c>
      <c r="AA148" s="207">
        <v>0</v>
      </c>
      <c r="AB148" s="207">
        <v>8858</v>
      </c>
      <c r="AC148" s="207">
        <v>117</v>
      </c>
      <c r="AD148" s="207">
        <v>1549</v>
      </c>
      <c r="AE148" s="481">
        <v>1.1479022799293799</v>
      </c>
      <c r="AF148" s="207">
        <v>12178578.55463064</v>
      </c>
      <c r="AG148" s="207" t="e">
        <v>#DIV/0!</v>
      </c>
      <c r="AH148" s="207" t="e">
        <v>#DIV/0!</v>
      </c>
      <c r="AI148" s="207" t="e">
        <v>#DIV/0!</v>
      </c>
      <c r="AJ148" s="175">
        <v>350</v>
      </c>
      <c r="AK148" s="175">
        <v>3857</v>
      </c>
      <c r="AL148" s="175">
        <v>0.9301278416256531</v>
      </c>
      <c r="AM148" s="175">
        <v>117</v>
      </c>
      <c r="AN148" s="175">
        <v>0.013028953229398664</v>
      </c>
      <c r="AO148" s="175">
        <v>0.009747874118935667</v>
      </c>
      <c r="AP148" s="175">
        <v>0</v>
      </c>
      <c r="AQ148" s="175">
        <v>5</v>
      </c>
      <c r="AR148" s="175">
        <v>0</v>
      </c>
      <c r="AS148" s="175">
        <v>0</v>
      </c>
      <c r="AT148" s="175">
        <v>0</v>
      </c>
      <c r="AU148" s="175">
        <v>783.74</v>
      </c>
      <c r="AV148" s="175">
        <v>11.45788144027356</v>
      </c>
      <c r="AW148" s="175">
        <v>1.5841080426190746</v>
      </c>
      <c r="AX148" s="175">
        <v>237</v>
      </c>
      <c r="AY148" s="175">
        <v>2737</v>
      </c>
      <c r="AZ148" s="175">
        <v>0.0865911582024114</v>
      </c>
      <c r="BA148" s="175">
        <v>0.025407322118176902</v>
      </c>
      <c r="BB148" s="175">
        <v>0</v>
      </c>
      <c r="BC148" s="207">
        <v>2501</v>
      </c>
      <c r="BD148" s="175">
        <v>3320</v>
      </c>
      <c r="BE148" s="175">
        <v>0.7533132530120482</v>
      </c>
      <c r="BF148" s="175">
        <v>0.3444063704209551</v>
      </c>
      <c r="BG148" s="175">
        <v>0</v>
      </c>
      <c r="BH148" s="175">
        <v>0</v>
      </c>
      <c r="BI148" s="207">
        <v>0</v>
      </c>
      <c r="BJ148" s="207">
        <v>-2155.2</v>
      </c>
      <c r="BK148" s="207">
        <v>-36818</v>
      </c>
      <c r="BL148" s="207">
        <v>-2514.4</v>
      </c>
      <c r="BM148" s="207">
        <v>0</v>
      </c>
      <c r="BN148" s="207">
        <v>0</v>
      </c>
      <c r="BO148" s="207">
        <v>-149101</v>
      </c>
      <c r="BP148" s="207">
        <v>-339561.2084474036</v>
      </c>
      <c r="BQ148" s="207">
        <v>-382188.80000000005</v>
      </c>
      <c r="BR148" s="207">
        <v>-106345.7427293472</v>
      </c>
      <c r="BS148" s="207">
        <v>653139</v>
      </c>
      <c r="BT148" s="207">
        <v>192506</v>
      </c>
      <c r="BU148" s="207">
        <v>447332.6942989805</v>
      </c>
      <c r="BV148" s="207">
        <v>11353.484939487833</v>
      </c>
      <c r="BW148" s="207">
        <v>31511.033225112184</v>
      </c>
      <c r="BX148" s="207">
        <v>234842.3314750822</v>
      </c>
      <c r="BY148" s="207">
        <v>426890.521875695</v>
      </c>
      <c r="BZ148" s="207">
        <v>628463.0091237711</v>
      </c>
      <c r="CA148" s="207">
        <v>151492.253400503</v>
      </c>
      <c r="CB148" s="207">
        <v>335902.63491397357</v>
      </c>
      <c r="CC148" s="207">
        <v>808.1999999999999</v>
      </c>
      <c r="CD148" s="207">
        <v>43268.91066117222</v>
      </c>
      <c r="CE148" s="207">
        <v>238834.23916976125</v>
      </c>
      <c r="CF148" s="207">
        <v>-1078379.5692776425</v>
      </c>
      <c r="CG148" s="207">
        <v>441313.6712379362</v>
      </c>
      <c r="CH148" s="207">
        <v>476181.4642798067</v>
      </c>
      <c r="CI148" s="207">
        <v>0</v>
      </c>
      <c r="CJ148" s="207">
        <v>7301778.942163876</v>
      </c>
      <c r="CK148" s="207">
        <v>-364984</v>
      </c>
      <c r="CL148" s="207">
        <v>188149.2</v>
      </c>
      <c r="CM148" s="207">
        <v>110444.9438</v>
      </c>
      <c r="CN148" s="207">
        <v>77704.25620000002</v>
      </c>
      <c r="CO148" s="207">
        <v>23400727.636195395</v>
      </c>
      <c r="CP148" s="207">
        <v>24615132.819034997</v>
      </c>
      <c r="CQ148" s="207">
        <v>9019</v>
      </c>
    </row>
    <row r="149" spans="1:95" ht="11.25">
      <c r="A149" s="207">
        <v>495</v>
      </c>
      <c r="B149" s="207" t="s">
        <v>206</v>
      </c>
      <c r="C149" s="207">
        <v>1584</v>
      </c>
      <c r="D149" s="207">
        <v>6598974.87</v>
      </c>
      <c r="E149" s="207">
        <v>2376416.472212406</v>
      </c>
      <c r="F149" s="207">
        <v>727156.8156426009</v>
      </c>
      <c r="G149" s="207">
        <v>9702548.157855006</v>
      </c>
      <c r="H149" s="207">
        <v>3664.46</v>
      </c>
      <c r="I149" s="207">
        <v>5804504.64</v>
      </c>
      <c r="J149" s="207">
        <v>3898043.5178550063</v>
      </c>
      <c r="K149" s="207">
        <v>148406.23033484502</v>
      </c>
      <c r="L149" s="207">
        <v>-66220.72063424916</v>
      </c>
      <c r="M149" s="207">
        <v>0</v>
      </c>
      <c r="N149" s="207">
        <v>3980229.027555602</v>
      </c>
      <c r="O149" s="207">
        <v>1155223.6097704861</v>
      </c>
      <c r="P149" s="207">
        <v>5135452.637326088</v>
      </c>
      <c r="Q149" s="207">
        <v>66</v>
      </c>
      <c r="R149" s="207">
        <v>9</v>
      </c>
      <c r="S149" s="207">
        <v>102</v>
      </c>
      <c r="T149" s="207">
        <v>57</v>
      </c>
      <c r="U149" s="207">
        <v>49</v>
      </c>
      <c r="V149" s="207">
        <v>753</v>
      </c>
      <c r="W149" s="207">
        <v>281</v>
      </c>
      <c r="X149" s="207">
        <v>167</v>
      </c>
      <c r="Y149" s="207">
        <v>100</v>
      </c>
      <c r="Z149" s="207">
        <v>1</v>
      </c>
      <c r="AA149" s="207">
        <v>0</v>
      </c>
      <c r="AB149" s="207">
        <v>1566</v>
      </c>
      <c r="AC149" s="207">
        <v>17</v>
      </c>
      <c r="AD149" s="207">
        <v>548</v>
      </c>
      <c r="AE149" s="481">
        <v>1.269848850460467</v>
      </c>
      <c r="AF149" s="207">
        <v>2376416.472212406</v>
      </c>
      <c r="AG149" s="207" t="e">
        <v>#DIV/0!</v>
      </c>
      <c r="AH149" s="207" t="e">
        <v>#DIV/0!</v>
      </c>
      <c r="AI149" s="207" t="e">
        <v>#DIV/0!</v>
      </c>
      <c r="AJ149" s="175">
        <v>55</v>
      </c>
      <c r="AK149" s="175">
        <v>634</v>
      </c>
      <c r="AL149" s="175">
        <v>0.8891963482796662</v>
      </c>
      <c r="AM149" s="175">
        <v>17</v>
      </c>
      <c r="AN149" s="175">
        <v>0.010732323232323232</v>
      </c>
      <c r="AO149" s="175">
        <v>0.0074512441218602355</v>
      </c>
      <c r="AP149" s="175">
        <v>0</v>
      </c>
      <c r="AQ149" s="175">
        <v>1</v>
      </c>
      <c r="AR149" s="175">
        <v>0</v>
      </c>
      <c r="AS149" s="175">
        <v>0</v>
      </c>
      <c r="AT149" s="175">
        <v>0</v>
      </c>
      <c r="AU149" s="175">
        <v>733.24</v>
      </c>
      <c r="AV149" s="175">
        <v>2.1602749440837923</v>
      </c>
      <c r="AW149" s="175">
        <v>8.401950034471701</v>
      </c>
      <c r="AX149" s="175">
        <v>48</v>
      </c>
      <c r="AY149" s="175">
        <v>379</v>
      </c>
      <c r="AZ149" s="175">
        <v>0.1266490765171504</v>
      </c>
      <c r="BA149" s="175">
        <v>0.0654652404329159</v>
      </c>
      <c r="BB149" s="175">
        <v>0.223333</v>
      </c>
      <c r="BC149" s="207">
        <v>594</v>
      </c>
      <c r="BD149" s="175">
        <v>540</v>
      </c>
      <c r="BE149" s="175">
        <v>1.1</v>
      </c>
      <c r="BF149" s="175">
        <v>0.691093117408907</v>
      </c>
      <c r="BG149" s="175">
        <v>0</v>
      </c>
      <c r="BH149" s="175">
        <v>0</v>
      </c>
      <c r="BI149" s="207">
        <v>0</v>
      </c>
      <c r="BJ149" s="207">
        <v>-380.15999999999997</v>
      </c>
      <c r="BK149" s="207">
        <v>-6494.4</v>
      </c>
      <c r="BL149" s="207">
        <v>-443.52000000000004</v>
      </c>
      <c r="BM149" s="207">
        <v>0</v>
      </c>
      <c r="BN149" s="207">
        <v>0</v>
      </c>
      <c r="BO149" s="207">
        <v>35851</v>
      </c>
      <c r="BP149" s="207">
        <v>-30485.82124384484</v>
      </c>
      <c r="BQ149" s="207">
        <v>-67415.04000000001</v>
      </c>
      <c r="BR149" s="207">
        <v>30935.09080532845</v>
      </c>
      <c r="BS149" s="207">
        <v>201000</v>
      </c>
      <c r="BT149" s="207">
        <v>58208</v>
      </c>
      <c r="BU149" s="207">
        <v>145030.28769449375</v>
      </c>
      <c r="BV149" s="207">
        <v>7608.706656098017</v>
      </c>
      <c r="BW149" s="207">
        <v>11383.485910040366</v>
      </c>
      <c r="BX149" s="207">
        <v>76181.8023706329</v>
      </c>
      <c r="BY149" s="207">
        <v>89379.49012113403</v>
      </c>
      <c r="BZ149" s="207">
        <v>138868.57876536797</v>
      </c>
      <c r="CA149" s="207">
        <v>39101.05290441499</v>
      </c>
      <c r="CB149" s="207">
        <v>76872.69028395084</v>
      </c>
      <c r="CC149" s="207">
        <v>142.56</v>
      </c>
      <c r="CD149" s="207">
        <v>-16999.544491988687</v>
      </c>
      <c r="CE149" s="207">
        <v>136715.18060959567</v>
      </c>
      <c r="CF149" s="207">
        <v>-66220.72063424916</v>
      </c>
      <c r="CG149" s="207">
        <v>85217.91429625591</v>
      </c>
      <c r="CH149" s="207">
        <v>108370.71522725311</v>
      </c>
      <c r="CI149" s="207">
        <v>0</v>
      </c>
      <c r="CJ149" s="207">
        <v>1155223.6097704861</v>
      </c>
      <c r="CK149" s="207">
        <v>-160393</v>
      </c>
      <c r="CL149" s="207">
        <v>10907.2</v>
      </c>
      <c r="CM149" s="207">
        <v>44583.17999999999</v>
      </c>
      <c r="CN149" s="207">
        <v>-33675.979999999996</v>
      </c>
      <c r="CO149" s="207">
        <v>4975059.637326088</v>
      </c>
      <c r="CP149" s="207">
        <v>5755046.711080588</v>
      </c>
      <c r="CQ149" s="207">
        <v>1636</v>
      </c>
    </row>
    <row r="150" spans="1:95" ht="11.25">
      <c r="A150" s="207">
        <v>498</v>
      </c>
      <c r="B150" s="207" t="s">
        <v>207</v>
      </c>
      <c r="C150" s="207">
        <v>2299</v>
      </c>
      <c r="D150" s="207">
        <v>8002860.61</v>
      </c>
      <c r="E150" s="207">
        <v>2650020.7173194755</v>
      </c>
      <c r="F150" s="207">
        <v>1914889.0013163066</v>
      </c>
      <c r="G150" s="207">
        <v>12567770.328635784</v>
      </c>
      <c r="H150" s="207">
        <v>3664.46</v>
      </c>
      <c r="I150" s="207">
        <v>8424593.540000001</v>
      </c>
      <c r="J150" s="207">
        <v>4143176.788635783</v>
      </c>
      <c r="K150" s="207">
        <v>2731358.667784078</v>
      </c>
      <c r="L150" s="207">
        <v>82608.48268254107</v>
      </c>
      <c r="M150" s="207">
        <v>0</v>
      </c>
      <c r="N150" s="207">
        <v>6957143.939102402</v>
      </c>
      <c r="O150" s="207">
        <v>1253961.3810851343</v>
      </c>
      <c r="P150" s="207">
        <v>8211105.320187536</v>
      </c>
      <c r="Q150" s="207">
        <v>109</v>
      </c>
      <c r="R150" s="207">
        <v>29</v>
      </c>
      <c r="S150" s="207">
        <v>167</v>
      </c>
      <c r="T150" s="207">
        <v>72</v>
      </c>
      <c r="U150" s="207">
        <v>63</v>
      </c>
      <c r="V150" s="207">
        <v>1252</v>
      </c>
      <c r="W150" s="207">
        <v>335</v>
      </c>
      <c r="X150" s="207">
        <v>211</v>
      </c>
      <c r="Y150" s="207">
        <v>61</v>
      </c>
      <c r="Z150" s="207">
        <v>13</v>
      </c>
      <c r="AA150" s="207">
        <v>5</v>
      </c>
      <c r="AB150" s="207">
        <v>2195</v>
      </c>
      <c r="AC150" s="207">
        <v>86</v>
      </c>
      <c r="AD150" s="207">
        <v>607</v>
      </c>
      <c r="AE150" s="481">
        <v>0.9756520272277961</v>
      </c>
      <c r="AF150" s="207">
        <v>2650020.7173194755</v>
      </c>
      <c r="AG150" s="207" t="e">
        <v>#DIV/0!</v>
      </c>
      <c r="AH150" s="207" t="e">
        <v>#DIV/0!</v>
      </c>
      <c r="AI150" s="207" t="e">
        <v>#DIV/0!</v>
      </c>
      <c r="AJ150" s="175">
        <v>150</v>
      </c>
      <c r="AK150" s="175">
        <v>1054</v>
      </c>
      <c r="AL150" s="175">
        <v>1.4587299072174615</v>
      </c>
      <c r="AM150" s="175">
        <v>86</v>
      </c>
      <c r="AN150" s="175">
        <v>0.037407568508046975</v>
      </c>
      <c r="AO150" s="175">
        <v>0.034126489397583976</v>
      </c>
      <c r="AP150" s="175">
        <v>0</v>
      </c>
      <c r="AQ150" s="175">
        <v>13</v>
      </c>
      <c r="AR150" s="175">
        <v>5</v>
      </c>
      <c r="AS150" s="175">
        <v>0</v>
      </c>
      <c r="AT150" s="175">
        <v>0</v>
      </c>
      <c r="AU150" s="175">
        <v>1906</v>
      </c>
      <c r="AV150" s="175">
        <v>1.2061909758656872</v>
      </c>
      <c r="AW150" s="175">
        <v>15.047801305167685</v>
      </c>
      <c r="AX150" s="175">
        <v>87</v>
      </c>
      <c r="AY150" s="175">
        <v>652</v>
      </c>
      <c r="AZ150" s="175">
        <v>0.1334355828220859</v>
      </c>
      <c r="BA150" s="175">
        <v>0.0722517467378514</v>
      </c>
      <c r="BB150" s="175">
        <v>1.766666</v>
      </c>
      <c r="BC150" s="207">
        <v>986</v>
      </c>
      <c r="BD150" s="175">
        <v>947</v>
      </c>
      <c r="BE150" s="175">
        <v>1.041182682154171</v>
      </c>
      <c r="BF150" s="175">
        <v>0.6322757995630779</v>
      </c>
      <c r="BG150" s="175">
        <v>0</v>
      </c>
      <c r="BH150" s="175">
        <v>5</v>
      </c>
      <c r="BI150" s="207">
        <v>0</v>
      </c>
      <c r="BJ150" s="207">
        <v>-551.76</v>
      </c>
      <c r="BK150" s="207">
        <v>-9425.9</v>
      </c>
      <c r="BL150" s="207">
        <v>-643.72</v>
      </c>
      <c r="BM150" s="207">
        <v>0</v>
      </c>
      <c r="BN150" s="207">
        <v>0</v>
      </c>
      <c r="BO150" s="207">
        <v>21632</v>
      </c>
      <c r="BP150" s="207">
        <v>-36593.86419882635</v>
      </c>
      <c r="BQ150" s="207">
        <v>-97845.44</v>
      </c>
      <c r="BR150" s="207">
        <v>250073.0429299483</v>
      </c>
      <c r="BS150" s="207">
        <v>181502</v>
      </c>
      <c r="BT150" s="207">
        <v>72651</v>
      </c>
      <c r="BU150" s="207">
        <v>189835.50121662323</v>
      </c>
      <c r="BV150" s="207">
        <v>9827.294284804399</v>
      </c>
      <c r="BW150" s="207">
        <v>18290.03388256738</v>
      </c>
      <c r="BX150" s="207">
        <v>66345.62201419225</v>
      </c>
      <c r="BY150" s="207">
        <v>141999.74252757968</v>
      </c>
      <c r="BZ150" s="207">
        <v>202939.75100335455</v>
      </c>
      <c r="CA150" s="207">
        <v>74196.18839086179</v>
      </c>
      <c r="CB150" s="207">
        <v>119805.01513015835</v>
      </c>
      <c r="CC150" s="207">
        <v>206.91</v>
      </c>
      <c r="CD150" s="207">
        <v>-15076.774782236955</v>
      </c>
      <c r="CE150" s="207">
        <v>369494.47688136745</v>
      </c>
      <c r="CF150" s="207">
        <v>82608.48268254107</v>
      </c>
      <c r="CG150" s="207">
        <v>110383.2887336561</v>
      </c>
      <c r="CH150" s="207">
        <v>169462.7694348813</v>
      </c>
      <c r="CI150" s="207">
        <v>0</v>
      </c>
      <c r="CJ150" s="207">
        <v>1253961.3810851343</v>
      </c>
      <c r="CK150" s="207">
        <v>148116</v>
      </c>
      <c r="CL150" s="207">
        <v>81804</v>
      </c>
      <c r="CM150" s="207">
        <v>13634</v>
      </c>
      <c r="CN150" s="207">
        <v>68170</v>
      </c>
      <c r="CO150" s="207">
        <v>8359221.320187536</v>
      </c>
      <c r="CP150" s="207">
        <v>9080705.819636011</v>
      </c>
      <c r="CQ150" s="207">
        <v>2332</v>
      </c>
    </row>
    <row r="151" spans="1:95" ht="11.25">
      <c r="A151" s="207">
        <v>499</v>
      </c>
      <c r="B151" s="207" t="s">
        <v>208</v>
      </c>
      <c r="C151" s="207">
        <v>19444</v>
      </c>
      <c r="D151" s="207">
        <v>74801181.35</v>
      </c>
      <c r="E151" s="207">
        <v>18072959.812586088</v>
      </c>
      <c r="F151" s="207">
        <v>7008527.4264196195</v>
      </c>
      <c r="G151" s="207">
        <v>99882668.5890057</v>
      </c>
      <c r="H151" s="207">
        <v>3664.46</v>
      </c>
      <c r="I151" s="207">
        <v>71251760.24</v>
      </c>
      <c r="J151" s="207">
        <v>28630908.3490057</v>
      </c>
      <c r="K151" s="207">
        <v>194373.31355038297</v>
      </c>
      <c r="L151" s="207">
        <v>-1515825.8079201118</v>
      </c>
      <c r="M151" s="207">
        <v>0</v>
      </c>
      <c r="N151" s="207">
        <v>27309455.85463597</v>
      </c>
      <c r="O151" s="207">
        <v>3873963.1414695163</v>
      </c>
      <c r="P151" s="207">
        <v>31183418.996105485</v>
      </c>
      <c r="Q151" s="207">
        <v>1480</v>
      </c>
      <c r="R151" s="207">
        <v>268</v>
      </c>
      <c r="S151" s="207">
        <v>1639</v>
      </c>
      <c r="T151" s="207">
        <v>769</v>
      </c>
      <c r="U151" s="207">
        <v>641</v>
      </c>
      <c r="V151" s="207">
        <v>10503</v>
      </c>
      <c r="W151" s="207">
        <v>2274</v>
      </c>
      <c r="X151" s="207">
        <v>1243</v>
      </c>
      <c r="Y151" s="207">
        <v>627</v>
      </c>
      <c r="Z151" s="207">
        <v>13350</v>
      </c>
      <c r="AA151" s="207">
        <v>1</v>
      </c>
      <c r="AB151" s="207">
        <v>5579</v>
      </c>
      <c r="AC151" s="207">
        <v>514</v>
      </c>
      <c r="AD151" s="207">
        <v>4144</v>
      </c>
      <c r="AE151" s="481">
        <v>0.7867347328127064</v>
      </c>
      <c r="AF151" s="207">
        <v>18072959.812586088</v>
      </c>
      <c r="AG151" s="207" t="e">
        <v>#DIV/0!</v>
      </c>
      <c r="AH151" s="207" t="e">
        <v>#DIV/0!</v>
      </c>
      <c r="AI151" s="207" t="e">
        <v>#DIV/0!</v>
      </c>
      <c r="AJ151" s="175">
        <v>456</v>
      </c>
      <c r="AK151" s="175">
        <v>9462</v>
      </c>
      <c r="AL151" s="175">
        <v>0.49397632841998546</v>
      </c>
      <c r="AM151" s="175">
        <v>514</v>
      </c>
      <c r="AN151" s="175">
        <v>0.026434889940341495</v>
      </c>
      <c r="AO151" s="175">
        <v>0.0231538108298785</v>
      </c>
      <c r="AP151" s="175">
        <v>3</v>
      </c>
      <c r="AQ151" s="175">
        <v>13350</v>
      </c>
      <c r="AR151" s="175">
        <v>1</v>
      </c>
      <c r="AS151" s="175">
        <v>3</v>
      </c>
      <c r="AT151" s="175">
        <v>2141</v>
      </c>
      <c r="AU151" s="175">
        <v>849.13</v>
      </c>
      <c r="AV151" s="175">
        <v>22.89873164297575</v>
      </c>
      <c r="AW151" s="175">
        <v>0.792643122069204</v>
      </c>
      <c r="AX151" s="175">
        <v>479</v>
      </c>
      <c r="AY151" s="175">
        <v>6430</v>
      </c>
      <c r="AZ151" s="175">
        <v>0.0744945567651633</v>
      </c>
      <c r="BA151" s="175">
        <v>0.013310720680928805</v>
      </c>
      <c r="BB151" s="175">
        <v>0</v>
      </c>
      <c r="BC151" s="207">
        <v>4900</v>
      </c>
      <c r="BD151" s="175">
        <v>8732</v>
      </c>
      <c r="BE151" s="175">
        <v>0.5611543747136968</v>
      </c>
      <c r="BF151" s="175">
        <v>0.1522474921226037</v>
      </c>
      <c r="BG151" s="175">
        <v>0</v>
      </c>
      <c r="BH151" s="175">
        <v>1</v>
      </c>
      <c r="BI151" s="207">
        <v>0</v>
      </c>
      <c r="BJ151" s="207">
        <v>-4666.5599999999995</v>
      </c>
      <c r="BK151" s="207">
        <v>-79720.4</v>
      </c>
      <c r="BL151" s="207">
        <v>-5444.320000000001</v>
      </c>
      <c r="BM151" s="207">
        <v>0</v>
      </c>
      <c r="BN151" s="207">
        <v>0</v>
      </c>
      <c r="BO151" s="207">
        <v>-186509</v>
      </c>
      <c r="BP151" s="207">
        <v>-242908.72987772862</v>
      </c>
      <c r="BQ151" s="207">
        <v>-827536.64</v>
      </c>
      <c r="BR151" s="207">
        <v>184900.8623964414</v>
      </c>
      <c r="BS151" s="207">
        <v>1354331</v>
      </c>
      <c r="BT151" s="207">
        <v>457111</v>
      </c>
      <c r="BU151" s="207">
        <v>972889.3078533442</v>
      </c>
      <c r="BV151" s="207">
        <v>21636.19619890987</v>
      </c>
      <c r="BW151" s="207">
        <v>12412.837833004593</v>
      </c>
      <c r="BX151" s="207">
        <v>412351.04040340486</v>
      </c>
      <c r="BY151" s="207">
        <v>922743.1690326901</v>
      </c>
      <c r="BZ151" s="207">
        <v>1507483.560543186</v>
      </c>
      <c r="CA151" s="207">
        <v>416792.2585272256</v>
      </c>
      <c r="CB151" s="207">
        <v>740084.8058070397</v>
      </c>
      <c r="CC151" s="207">
        <v>1749.96</v>
      </c>
      <c r="CD151" s="207">
        <v>-52714.12466637585</v>
      </c>
      <c r="CE151" s="207">
        <v>843951.2019576165</v>
      </c>
      <c r="CF151" s="207">
        <v>-1515825.8079201118</v>
      </c>
      <c r="CG151" s="207">
        <v>877273.944227551</v>
      </c>
      <c r="CH151" s="207">
        <v>1052441.2149120825</v>
      </c>
      <c r="CI151" s="207">
        <v>0</v>
      </c>
      <c r="CJ151" s="207">
        <v>3873963.1414695163</v>
      </c>
      <c r="CK151" s="207">
        <v>-1862758</v>
      </c>
      <c r="CL151" s="207">
        <v>732213.97</v>
      </c>
      <c r="CM151" s="207">
        <v>708708.954</v>
      </c>
      <c r="CN151" s="207">
        <v>23505.015999999945</v>
      </c>
      <c r="CO151" s="207">
        <v>29320660.996105485</v>
      </c>
      <c r="CP151" s="207">
        <v>32293973.228809908</v>
      </c>
      <c r="CQ151" s="207">
        <v>19384</v>
      </c>
    </row>
    <row r="152" spans="1:95" ht="11.25">
      <c r="A152" s="207">
        <v>500</v>
      </c>
      <c r="B152" s="207" t="s">
        <v>209</v>
      </c>
      <c r="C152" s="207">
        <v>10170</v>
      </c>
      <c r="D152" s="207">
        <v>37221958.46</v>
      </c>
      <c r="E152" s="207">
        <v>9594121.21047794</v>
      </c>
      <c r="F152" s="207">
        <v>1043543.3286355648</v>
      </c>
      <c r="G152" s="207">
        <v>47859622.99911351</v>
      </c>
      <c r="H152" s="207">
        <v>3664.46</v>
      </c>
      <c r="I152" s="207">
        <v>37267558.2</v>
      </c>
      <c r="J152" s="207">
        <v>10592064.799113505</v>
      </c>
      <c r="K152" s="207">
        <v>161581.89006800269</v>
      </c>
      <c r="L152" s="207">
        <v>-1065188.4404139337</v>
      </c>
      <c r="M152" s="207">
        <v>0</v>
      </c>
      <c r="N152" s="207">
        <v>9688458.248767573</v>
      </c>
      <c r="O152" s="207">
        <v>264163.2801360831</v>
      </c>
      <c r="P152" s="207">
        <v>9952621.528903656</v>
      </c>
      <c r="Q152" s="207">
        <v>785</v>
      </c>
      <c r="R152" s="207">
        <v>158</v>
      </c>
      <c r="S152" s="207">
        <v>999</v>
      </c>
      <c r="T152" s="207">
        <v>450</v>
      </c>
      <c r="U152" s="207">
        <v>400</v>
      </c>
      <c r="V152" s="207">
        <v>5607</v>
      </c>
      <c r="W152" s="207">
        <v>1111</v>
      </c>
      <c r="X152" s="207">
        <v>497</v>
      </c>
      <c r="Y152" s="207">
        <v>163</v>
      </c>
      <c r="Z152" s="207">
        <v>13</v>
      </c>
      <c r="AA152" s="207">
        <v>0</v>
      </c>
      <c r="AB152" s="207">
        <v>10012</v>
      </c>
      <c r="AC152" s="207">
        <v>145</v>
      </c>
      <c r="AD152" s="207">
        <v>1771</v>
      </c>
      <c r="AE152" s="481">
        <v>0.7984889333385384</v>
      </c>
      <c r="AF152" s="207">
        <v>9594121.21047794</v>
      </c>
      <c r="AG152" s="207" t="e">
        <v>#DIV/0!</v>
      </c>
      <c r="AH152" s="207" t="e">
        <v>#DIV/0!</v>
      </c>
      <c r="AI152" s="207" t="e">
        <v>#DIV/0!</v>
      </c>
      <c r="AJ152" s="175">
        <v>364</v>
      </c>
      <c r="AK152" s="175">
        <v>4859</v>
      </c>
      <c r="AL152" s="175">
        <v>0.7678541281243362</v>
      </c>
      <c r="AM152" s="175">
        <v>145</v>
      </c>
      <c r="AN152" s="175">
        <v>0.014257620452310717</v>
      </c>
      <c r="AO152" s="175">
        <v>0.01097654134184772</v>
      </c>
      <c r="AP152" s="175">
        <v>0</v>
      </c>
      <c r="AQ152" s="175">
        <v>13</v>
      </c>
      <c r="AR152" s="175">
        <v>0</v>
      </c>
      <c r="AS152" s="175">
        <v>0</v>
      </c>
      <c r="AT152" s="175">
        <v>0</v>
      </c>
      <c r="AU152" s="175">
        <v>144.05</v>
      </c>
      <c r="AV152" s="175">
        <v>70.60048594238111</v>
      </c>
      <c r="AW152" s="175">
        <v>0.2570877791935637</v>
      </c>
      <c r="AX152" s="175">
        <v>215</v>
      </c>
      <c r="AY152" s="175">
        <v>3514</v>
      </c>
      <c r="AZ152" s="175">
        <v>0.06118383608423449</v>
      </c>
      <c r="BA152" s="175">
        <v>0</v>
      </c>
      <c r="BB152" s="175">
        <v>0</v>
      </c>
      <c r="BC152" s="207">
        <v>2804</v>
      </c>
      <c r="BD152" s="175">
        <v>4308</v>
      </c>
      <c r="BE152" s="175">
        <v>0.6508820798514392</v>
      </c>
      <c r="BF152" s="175">
        <v>0.2419751972603461</v>
      </c>
      <c r="BG152" s="175">
        <v>0</v>
      </c>
      <c r="BH152" s="175">
        <v>0</v>
      </c>
      <c r="BI152" s="207">
        <v>0</v>
      </c>
      <c r="BJ152" s="207">
        <v>-2440.7999999999997</v>
      </c>
      <c r="BK152" s="207">
        <v>-41697</v>
      </c>
      <c r="BL152" s="207">
        <v>-2847.6000000000004</v>
      </c>
      <c r="BM152" s="207">
        <v>0</v>
      </c>
      <c r="BN152" s="207">
        <v>0</v>
      </c>
      <c r="BO152" s="207">
        <v>104302</v>
      </c>
      <c r="BP152" s="207">
        <v>-439384.7241628489</v>
      </c>
      <c r="BQ152" s="207">
        <v>-432835.2</v>
      </c>
      <c r="BR152" s="207">
        <v>-63532.664028301835</v>
      </c>
      <c r="BS152" s="207">
        <v>581389</v>
      </c>
      <c r="BT152" s="207">
        <v>183400</v>
      </c>
      <c r="BU152" s="207">
        <v>363140.8708062557</v>
      </c>
      <c r="BV152" s="207">
        <v>3914.9002659224384</v>
      </c>
      <c r="BW152" s="207">
        <v>-423439.1547483835</v>
      </c>
      <c r="BX152" s="207">
        <v>128225.02205424709</v>
      </c>
      <c r="BY152" s="207">
        <v>386549.5045330577</v>
      </c>
      <c r="BZ152" s="207">
        <v>667376.9982023478</v>
      </c>
      <c r="CA152" s="207">
        <v>167680.14204433767</v>
      </c>
      <c r="CB152" s="207">
        <v>323116.8319311075</v>
      </c>
      <c r="CC152" s="207">
        <v>915.3</v>
      </c>
      <c r="CD152" s="207">
        <v>9298.039049497762</v>
      </c>
      <c r="CE152" s="207">
        <v>481404.18374891515</v>
      </c>
      <c r="CF152" s="207">
        <v>-1065188.4404139337</v>
      </c>
      <c r="CG152" s="207">
        <v>420353.20872771926</v>
      </c>
      <c r="CH152" s="207">
        <v>408829.2704719459</v>
      </c>
      <c r="CI152" s="207">
        <v>0</v>
      </c>
      <c r="CJ152" s="207">
        <v>264163.2801360831</v>
      </c>
      <c r="CK152" s="207">
        <v>-750061</v>
      </c>
      <c r="CL152" s="207">
        <v>150042.17</v>
      </c>
      <c r="CM152" s="207">
        <v>345458.292</v>
      </c>
      <c r="CN152" s="207">
        <v>-195416.122</v>
      </c>
      <c r="CO152" s="207">
        <v>9202560.528903656</v>
      </c>
      <c r="CP152" s="207">
        <v>10007921.469693525</v>
      </c>
      <c r="CQ152" s="207">
        <v>10097</v>
      </c>
    </row>
    <row r="153" spans="1:95" ht="11.25">
      <c r="A153" s="207">
        <v>503</v>
      </c>
      <c r="B153" s="207" t="s">
        <v>210</v>
      </c>
      <c r="C153" s="207">
        <v>7766</v>
      </c>
      <c r="D153" s="207">
        <v>27994896.689999998</v>
      </c>
      <c r="E153" s="207">
        <v>8597153.682999233</v>
      </c>
      <c r="F153" s="207">
        <v>1345685.9052021995</v>
      </c>
      <c r="G153" s="207">
        <v>37937736.27820143</v>
      </c>
      <c r="H153" s="207">
        <v>3664.46</v>
      </c>
      <c r="I153" s="207">
        <v>28458196.36</v>
      </c>
      <c r="J153" s="207">
        <v>9479539.918201432</v>
      </c>
      <c r="K153" s="207">
        <v>103028.60972701664</v>
      </c>
      <c r="L153" s="207">
        <v>-759286.0872921391</v>
      </c>
      <c r="M153" s="207">
        <v>0</v>
      </c>
      <c r="N153" s="207">
        <v>8823282.440636309</v>
      </c>
      <c r="O153" s="207">
        <v>4277789.836446219</v>
      </c>
      <c r="P153" s="207">
        <v>13101072.277082529</v>
      </c>
      <c r="Q153" s="207">
        <v>415</v>
      </c>
      <c r="R153" s="207">
        <v>81</v>
      </c>
      <c r="S153" s="207">
        <v>516</v>
      </c>
      <c r="T153" s="207">
        <v>266</v>
      </c>
      <c r="U153" s="207">
        <v>265</v>
      </c>
      <c r="V153" s="207">
        <v>4227</v>
      </c>
      <c r="W153" s="207">
        <v>1138</v>
      </c>
      <c r="X153" s="207">
        <v>587</v>
      </c>
      <c r="Y153" s="207">
        <v>271</v>
      </c>
      <c r="Z153" s="207">
        <v>56</v>
      </c>
      <c r="AA153" s="207">
        <v>0</v>
      </c>
      <c r="AB153" s="207">
        <v>7563</v>
      </c>
      <c r="AC153" s="207">
        <v>147</v>
      </c>
      <c r="AD153" s="207">
        <v>1996</v>
      </c>
      <c r="AE153" s="481">
        <v>0.9370051058725707</v>
      </c>
      <c r="AF153" s="207">
        <v>8597153.682999233</v>
      </c>
      <c r="AG153" s="207" t="e">
        <v>#DIV/0!</v>
      </c>
      <c r="AH153" s="207" t="e">
        <v>#DIV/0!</v>
      </c>
      <c r="AI153" s="207" t="e">
        <v>#DIV/0!</v>
      </c>
      <c r="AJ153" s="175">
        <v>238</v>
      </c>
      <c r="AK153" s="175">
        <v>3635</v>
      </c>
      <c r="AL153" s="175">
        <v>0.6711147449524341</v>
      </c>
      <c r="AM153" s="175">
        <v>147</v>
      </c>
      <c r="AN153" s="175">
        <v>0.018928663404584083</v>
      </c>
      <c r="AO153" s="175">
        <v>0.015647584294121088</v>
      </c>
      <c r="AP153" s="175">
        <v>0</v>
      </c>
      <c r="AQ153" s="175">
        <v>56</v>
      </c>
      <c r="AR153" s="175">
        <v>0</v>
      </c>
      <c r="AS153" s="175">
        <v>0</v>
      </c>
      <c r="AT153" s="175">
        <v>0</v>
      </c>
      <c r="AU153" s="175">
        <v>519.79</v>
      </c>
      <c r="AV153" s="175">
        <v>14.940649108293735</v>
      </c>
      <c r="AW153" s="175">
        <v>1.2148416048963762</v>
      </c>
      <c r="AX153" s="175">
        <v>336</v>
      </c>
      <c r="AY153" s="175">
        <v>2403</v>
      </c>
      <c r="AZ153" s="175">
        <v>0.13982521847690388</v>
      </c>
      <c r="BA153" s="175">
        <v>0.07864138239266938</v>
      </c>
      <c r="BB153" s="175">
        <v>0</v>
      </c>
      <c r="BC153" s="207">
        <v>1985</v>
      </c>
      <c r="BD153" s="175">
        <v>3249</v>
      </c>
      <c r="BE153" s="175">
        <v>0.6109572176054171</v>
      </c>
      <c r="BF153" s="175">
        <v>0.202050335014324</v>
      </c>
      <c r="BG153" s="175">
        <v>0</v>
      </c>
      <c r="BH153" s="175">
        <v>0</v>
      </c>
      <c r="BI153" s="207">
        <v>0</v>
      </c>
      <c r="BJ153" s="207">
        <v>-1863.84</v>
      </c>
      <c r="BK153" s="207">
        <v>-31840.6</v>
      </c>
      <c r="BL153" s="207">
        <v>-2174.48</v>
      </c>
      <c r="BM153" s="207">
        <v>0</v>
      </c>
      <c r="BN153" s="207">
        <v>0</v>
      </c>
      <c r="BO153" s="207">
        <v>-137561</v>
      </c>
      <c r="BP153" s="207">
        <v>-138392.60626906366</v>
      </c>
      <c r="BQ153" s="207">
        <v>-330520.96</v>
      </c>
      <c r="BR153" s="207">
        <v>16050.776211857796</v>
      </c>
      <c r="BS153" s="207">
        <v>672555</v>
      </c>
      <c r="BT153" s="207">
        <v>216780</v>
      </c>
      <c r="BU153" s="207">
        <v>474562.0938275964</v>
      </c>
      <c r="BV153" s="207">
        <v>15988.73824683974</v>
      </c>
      <c r="BW153" s="207">
        <v>78732.96706707103</v>
      </c>
      <c r="BX153" s="207">
        <v>195548.96349423224</v>
      </c>
      <c r="BY153" s="207">
        <v>430684.55735492456</v>
      </c>
      <c r="BZ153" s="207">
        <v>726253.7460421171</v>
      </c>
      <c r="CA153" s="207">
        <v>200202.43590228446</v>
      </c>
      <c r="CB153" s="207">
        <v>347871.3990283382</v>
      </c>
      <c r="CC153" s="207">
        <v>698.9399999999999</v>
      </c>
      <c r="CD153" s="207">
        <v>4505.048740123515</v>
      </c>
      <c r="CE153" s="207">
        <v>224590.93897692466</v>
      </c>
      <c r="CF153" s="207">
        <v>-759286.0872921391</v>
      </c>
      <c r="CG153" s="207">
        <v>333208.83402494335</v>
      </c>
      <c r="CH153" s="207">
        <v>478840.8116294286</v>
      </c>
      <c r="CI153" s="207">
        <v>0</v>
      </c>
      <c r="CJ153" s="207">
        <v>4277789.836446219</v>
      </c>
      <c r="CK153" s="207">
        <v>-156802</v>
      </c>
      <c r="CL153" s="207">
        <v>305401.6000000001</v>
      </c>
      <c r="CM153" s="207">
        <v>194448.10800000004</v>
      </c>
      <c r="CN153" s="207">
        <v>110953.49200000006</v>
      </c>
      <c r="CO153" s="207">
        <v>12944270.277082529</v>
      </c>
      <c r="CP153" s="207">
        <v>14851382.761720829</v>
      </c>
      <c r="CQ153" s="207">
        <v>7838</v>
      </c>
    </row>
    <row r="154" spans="1:95" ht="11.25">
      <c r="A154" s="207">
        <v>504</v>
      </c>
      <c r="B154" s="207" t="s">
        <v>211</v>
      </c>
      <c r="C154" s="207">
        <v>1922</v>
      </c>
      <c r="D154" s="207">
        <v>7084084.94</v>
      </c>
      <c r="E154" s="207">
        <v>2177097.4013103847</v>
      </c>
      <c r="F154" s="207">
        <v>656820.4097296626</v>
      </c>
      <c r="G154" s="207">
        <v>9918002.751040049</v>
      </c>
      <c r="H154" s="207">
        <v>3664.46</v>
      </c>
      <c r="I154" s="207">
        <v>7043092.12</v>
      </c>
      <c r="J154" s="207">
        <v>2874910.631040049</v>
      </c>
      <c r="K154" s="207">
        <v>24279.56278100847</v>
      </c>
      <c r="L154" s="207">
        <v>-14637.34070263151</v>
      </c>
      <c r="M154" s="207">
        <v>0</v>
      </c>
      <c r="N154" s="207">
        <v>2884552.8531184257</v>
      </c>
      <c r="O154" s="207">
        <v>1381522.976073149</v>
      </c>
      <c r="P154" s="207">
        <v>4266075.829191575</v>
      </c>
      <c r="Q154" s="207">
        <v>96</v>
      </c>
      <c r="R154" s="207">
        <v>25</v>
      </c>
      <c r="S154" s="207">
        <v>142</v>
      </c>
      <c r="T154" s="207">
        <v>66</v>
      </c>
      <c r="U154" s="207">
        <v>43</v>
      </c>
      <c r="V154" s="207">
        <v>1019</v>
      </c>
      <c r="W154" s="207">
        <v>305</v>
      </c>
      <c r="X154" s="207">
        <v>155</v>
      </c>
      <c r="Y154" s="207">
        <v>71</v>
      </c>
      <c r="Z154" s="207">
        <v>176</v>
      </c>
      <c r="AA154" s="207">
        <v>0</v>
      </c>
      <c r="AB154" s="207">
        <v>1671</v>
      </c>
      <c r="AC154" s="207">
        <v>75</v>
      </c>
      <c r="AD154" s="207">
        <v>531</v>
      </c>
      <c r="AE154" s="481">
        <v>0.9587582840299748</v>
      </c>
      <c r="AF154" s="207">
        <v>2177097.4013103847</v>
      </c>
      <c r="AG154" s="207" t="e">
        <v>#DIV/0!</v>
      </c>
      <c r="AH154" s="207" t="e">
        <v>#DIV/0!</v>
      </c>
      <c r="AI154" s="207" t="e">
        <v>#DIV/0!</v>
      </c>
      <c r="AJ154" s="175">
        <v>98</v>
      </c>
      <c r="AK154" s="175">
        <v>892</v>
      </c>
      <c r="AL154" s="175">
        <v>1.1261220446659645</v>
      </c>
      <c r="AM154" s="175">
        <v>75</v>
      </c>
      <c r="AN154" s="175">
        <v>0.03902185223725286</v>
      </c>
      <c r="AO154" s="175">
        <v>0.03574077312678986</v>
      </c>
      <c r="AP154" s="175">
        <v>1</v>
      </c>
      <c r="AQ154" s="175">
        <v>176</v>
      </c>
      <c r="AR154" s="175">
        <v>0</v>
      </c>
      <c r="AS154" s="175">
        <v>0</v>
      </c>
      <c r="AT154" s="175">
        <v>0</v>
      </c>
      <c r="AU154" s="175">
        <v>200.36</v>
      </c>
      <c r="AV154" s="175">
        <v>9.59273308045518</v>
      </c>
      <c r="AW154" s="175">
        <v>1.8921116629309904</v>
      </c>
      <c r="AX154" s="175">
        <v>103</v>
      </c>
      <c r="AY154" s="175">
        <v>577</v>
      </c>
      <c r="AZ154" s="175">
        <v>0.17850953206239167</v>
      </c>
      <c r="BA154" s="175">
        <v>0.11732569597815717</v>
      </c>
      <c r="BB154" s="175">
        <v>0</v>
      </c>
      <c r="BC154" s="207">
        <v>463</v>
      </c>
      <c r="BD154" s="175">
        <v>770</v>
      </c>
      <c r="BE154" s="175">
        <v>0.6012987012987013</v>
      </c>
      <c r="BF154" s="175">
        <v>0.19239181870760824</v>
      </c>
      <c r="BG154" s="175">
        <v>0</v>
      </c>
      <c r="BH154" s="175">
        <v>0</v>
      </c>
      <c r="BI154" s="207">
        <v>0</v>
      </c>
      <c r="BJ154" s="207">
        <v>-461.28</v>
      </c>
      <c r="BK154" s="207">
        <v>-7880.199999999999</v>
      </c>
      <c r="BL154" s="207">
        <v>-538.1600000000001</v>
      </c>
      <c r="BM154" s="207">
        <v>0</v>
      </c>
      <c r="BN154" s="207">
        <v>0</v>
      </c>
      <c r="BO154" s="207">
        <v>-5293</v>
      </c>
      <c r="BP154" s="207">
        <v>-67944.079811722</v>
      </c>
      <c r="BQ154" s="207">
        <v>-81800.32</v>
      </c>
      <c r="BR154" s="207">
        <v>166062.03001650702</v>
      </c>
      <c r="BS154" s="207">
        <v>195468</v>
      </c>
      <c r="BT154" s="207">
        <v>62369</v>
      </c>
      <c r="BU154" s="207">
        <v>141372.8779053007</v>
      </c>
      <c r="BV154" s="207">
        <v>6568.424044971691</v>
      </c>
      <c r="BW154" s="207">
        <v>18572.25033574297</v>
      </c>
      <c r="BX154" s="207">
        <v>55129.76659964208</v>
      </c>
      <c r="BY154" s="207">
        <v>116165.3091711666</v>
      </c>
      <c r="BZ154" s="207">
        <v>177216.08435129444</v>
      </c>
      <c r="CA154" s="207">
        <v>61755.48162109174</v>
      </c>
      <c r="CB154" s="207">
        <v>92708.74512305671</v>
      </c>
      <c r="CC154" s="207">
        <v>172.98</v>
      </c>
      <c r="CD154" s="207">
        <v>12599.827470855751</v>
      </c>
      <c r="CE154" s="207">
        <v>262554.8791090905</v>
      </c>
      <c r="CF154" s="207">
        <v>-14637.34070263151</v>
      </c>
      <c r="CG154" s="207">
        <v>87110.26162172765</v>
      </c>
      <c r="CH154" s="207">
        <v>140500.78210762318</v>
      </c>
      <c r="CI154" s="207">
        <v>0</v>
      </c>
      <c r="CJ154" s="207">
        <v>1381522.976073149</v>
      </c>
      <c r="CK154" s="207">
        <v>-428922</v>
      </c>
      <c r="CL154" s="207">
        <v>13634</v>
      </c>
      <c r="CM154" s="207">
        <v>824570.6860000001</v>
      </c>
      <c r="CN154" s="207">
        <v>-810936.6860000001</v>
      </c>
      <c r="CO154" s="207">
        <v>3837153.829191575</v>
      </c>
      <c r="CP154" s="207">
        <v>4581603.737001607</v>
      </c>
      <c r="CQ154" s="207">
        <v>1969</v>
      </c>
    </row>
    <row r="155" spans="1:95" ht="11.25">
      <c r="A155" s="207">
        <v>505</v>
      </c>
      <c r="B155" s="207" t="s">
        <v>212</v>
      </c>
      <c r="C155" s="207">
        <v>20686</v>
      </c>
      <c r="D155" s="207">
        <v>74347422.61</v>
      </c>
      <c r="E155" s="207">
        <v>21094881.994495314</v>
      </c>
      <c r="F155" s="207">
        <v>3440187.5657371813</v>
      </c>
      <c r="G155" s="207">
        <v>98882492.1702325</v>
      </c>
      <c r="H155" s="207">
        <v>3664.46</v>
      </c>
      <c r="I155" s="207">
        <v>75803019.56</v>
      </c>
      <c r="J155" s="207">
        <v>23079472.610232502</v>
      </c>
      <c r="K155" s="207">
        <v>335217.6544037097</v>
      </c>
      <c r="L155" s="207">
        <v>-2445844.5618441356</v>
      </c>
      <c r="M155" s="207">
        <v>0</v>
      </c>
      <c r="N155" s="207">
        <v>20968845.702792075</v>
      </c>
      <c r="O155" s="207">
        <v>5215194.054928227</v>
      </c>
      <c r="P155" s="207">
        <v>26184039.757720303</v>
      </c>
      <c r="Q155" s="207">
        <v>1398</v>
      </c>
      <c r="R155" s="207">
        <v>286</v>
      </c>
      <c r="S155" s="207">
        <v>1863</v>
      </c>
      <c r="T155" s="207">
        <v>891</v>
      </c>
      <c r="U155" s="207">
        <v>841</v>
      </c>
      <c r="V155" s="207">
        <v>11578</v>
      </c>
      <c r="W155" s="207">
        <v>2337</v>
      </c>
      <c r="X155" s="207">
        <v>1091</v>
      </c>
      <c r="Y155" s="207">
        <v>401</v>
      </c>
      <c r="Z155" s="207">
        <v>196</v>
      </c>
      <c r="AA155" s="207">
        <v>3</v>
      </c>
      <c r="AB155" s="207">
        <v>19824</v>
      </c>
      <c r="AC155" s="207">
        <v>663</v>
      </c>
      <c r="AD155" s="207">
        <v>3829</v>
      </c>
      <c r="AE155" s="481">
        <v>0.8631479298732765</v>
      </c>
      <c r="AF155" s="207">
        <v>21094881.994495314</v>
      </c>
      <c r="AG155" s="207" t="e">
        <v>#DIV/0!</v>
      </c>
      <c r="AH155" s="207" t="e">
        <v>#DIV/0!</v>
      </c>
      <c r="AI155" s="207" t="e">
        <v>#DIV/0!</v>
      </c>
      <c r="AJ155" s="175">
        <v>567</v>
      </c>
      <c r="AK155" s="175">
        <v>10125</v>
      </c>
      <c r="AL155" s="175">
        <v>0.5740004936240231</v>
      </c>
      <c r="AM155" s="175">
        <v>663</v>
      </c>
      <c r="AN155" s="175">
        <v>0.032050662283670116</v>
      </c>
      <c r="AO155" s="175">
        <v>0.02876958317320712</v>
      </c>
      <c r="AP155" s="175">
        <v>0</v>
      </c>
      <c r="AQ155" s="175">
        <v>196</v>
      </c>
      <c r="AR155" s="175">
        <v>3</v>
      </c>
      <c r="AS155" s="175">
        <v>0</v>
      </c>
      <c r="AT155" s="175">
        <v>0</v>
      </c>
      <c r="AU155" s="175">
        <v>580.82</v>
      </c>
      <c r="AV155" s="175">
        <v>35.61516476705347</v>
      </c>
      <c r="AW155" s="175">
        <v>0.5096290375077439</v>
      </c>
      <c r="AX155" s="175">
        <v>1045</v>
      </c>
      <c r="AY155" s="175">
        <v>6976</v>
      </c>
      <c r="AZ155" s="175">
        <v>0.1497993119266055</v>
      </c>
      <c r="BA155" s="175">
        <v>0.088615475842371</v>
      </c>
      <c r="BB155" s="175">
        <v>0</v>
      </c>
      <c r="BC155" s="207">
        <v>6064</v>
      </c>
      <c r="BD155" s="175">
        <v>9248</v>
      </c>
      <c r="BE155" s="175">
        <v>0.6557093425605537</v>
      </c>
      <c r="BF155" s="175">
        <v>0.2468024599694606</v>
      </c>
      <c r="BG155" s="175">
        <v>0</v>
      </c>
      <c r="BH155" s="175">
        <v>3</v>
      </c>
      <c r="BI155" s="207">
        <v>0</v>
      </c>
      <c r="BJ155" s="207">
        <v>-4964.639999999999</v>
      </c>
      <c r="BK155" s="207">
        <v>-84812.59999999999</v>
      </c>
      <c r="BL155" s="207">
        <v>-5792.080000000001</v>
      </c>
      <c r="BM155" s="207">
        <v>0</v>
      </c>
      <c r="BN155" s="207">
        <v>0</v>
      </c>
      <c r="BO155" s="207">
        <v>-224658</v>
      </c>
      <c r="BP155" s="207">
        <v>-927801.2633942254</v>
      </c>
      <c r="BQ155" s="207">
        <v>-880396.16</v>
      </c>
      <c r="BR155" s="207">
        <v>80214.3359831199</v>
      </c>
      <c r="BS155" s="207">
        <v>1479734</v>
      </c>
      <c r="BT155" s="207">
        <v>475013</v>
      </c>
      <c r="BU155" s="207">
        <v>989053.6281817912</v>
      </c>
      <c r="BV155" s="207">
        <v>9088.89205300404</v>
      </c>
      <c r="BW155" s="207">
        <v>13788.275486488605</v>
      </c>
      <c r="BX155" s="207">
        <v>313030.11754291435</v>
      </c>
      <c r="BY155" s="207">
        <v>1002537.4279780103</v>
      </c>
      <c r="BZ155" s="207">
        <v>1537345.6575770497</v>
      </c>
      <c r="CA155" s="207">
        <v>427475.5058452923</v>
      </c>
      <c r="CB155" s="207">
        <v>779475.2186518909</v>
      </c>
      <c r="CC155" s="207">
        <v>1861.74</v>
      </c>
      <c r="CD155" s="207">
        <v>-12345.044454043076</v>
      </c>
      <c r="CE155" s="207">
        <v>734041.5215500898</v>
      </c>
      <c r="CF155" s="207">
        <v>-2445844.5618441356</v>
      </c>
      <c r="CG155" s="207">
        <v>868489.350021013</v>
      </c>
      <c r="CH155" s="207">
        <v>1118815.3176567247</v>
      </c>
      <c r="CI155" s="207">
        <v>0</v>
      </c>
      <c r="CJ155" s="207">
        <v>5215194.054928227</v>
      </c>
      <c r="CK155" s="207">
        <v>-2318568</v>
      </c>
      <c r="CL155" s="207">
        <v>837400.2799999999</v>
      </c>
      <c r="CM155" s="207">
        <v>1880701.228</v>
      </c>
      <c r="CN155" s="207">
        <v>-1043300.948</v>
      </c>
      <c r="CO155" s="207">
        <v>23865471.757720303</v>
      </c>
      <c r="CP155" s="207">
        <v>28720030.99386033</v>
      </c>
      <c r="CQ155" s="207">
        <v>20803</v>
      </c>
    </row>
    <row r="156" spans="1:95" ht="11.25">
      <c r="A156" s="207">
        <v>508</v>
      </c>
      <c r="B156" s="207" t="s">
        <v>213</v>
      </c>
      <c r="C156" s="207">
        <v>9983</v>
      </c>
      <c r="D156" s="207">
        <v>36627055.75</v>
      </c>
      <c r="E156" s="207">
        <v>15809094.679675288</v>
      </c>
      <c r="F156" s="207">
        <v>2086852.694257123</v>
      </c>
      <c r="G156" s="207">
        <v>54523003.123932414</v>
      </c>
      <c r="H156" s="207">
        <v>3664.46</v>
      </c>
      <c r="I156" s="207">
        <v>36582304.18</v>
      </c>
      <c r="J156" s="207">
        <v>17940698.943932414</v>
      </c>
      <c r="K156" s="207">
        <v>424660.4542874705</v>
      </c>
      <c r="L156" s="207">
        <v>-890197.5999150061</v>
      </c>
      <c r="M156" s="207">
        <v>0</v>
      </c>
      <c r="N156" s="207">
        <v>17475161.79830488</v>
      </c>
      <c r="O156" s="207">
        <v>4466034.767001881</v>
      </c>
      <c r="P156" s="207">
        <v>21941196.56530676</v>
      </c>
      <c r="Q156" s="207">
        <v>375</v>
      </c>
      <c r="R156" s="207">
        <v>83</v>
      </c>
      <c r="S156" s="207">
        <v>526</v>
      </c>
      <c r="T156" s="207">
        <v>276</v>
      </c>
      <c r="U156" s="207">
        <v>338</v>
      </c>
      <c r="V156" s="207">
        <v>5029</v>
      </c>
      <c r="W156" s="207">
        <v>1872</v>
      </c>
      <c r="X156" s="207">
        <v>1025</v>
      </c>
      <c r="Y156" s="207">
        <v>459</v>
      </c>
      <c r="Z156" s="207">
        <v>19</v>
      </c>
      <c r="AA156" s="207">
        <v>3</v>
      </c>
      <c r="AB156" s="207">
        <v>9705</v>
      </c>
      <c r="AC156" s="207">
        <v>256</v>
      </c>
      <c r="AD156" s="207">
        <v>3356</v>
      </c>
      <c r="AE156" s="481">
        <v>1.3403881591871605</v>
      </c>
      <c r="AF156" s="207">
        <v>15809094.679675288</v>
      </c>
      <c r="AG156" s="207" t="e">
        <v>#DIV/0!</v>
      </c>
      <c r="AH156" s="207" t="e">
        <v>#DIV/0!</v>
      </c>
      <c r="AI156" s="207" t="e">
        <v>#DIV/0!</v>
      </c>
      <c r="AJ156" s="175">
        <v>416</v>
      </c>
      <c r="AK156" s="175">
        <v>4259</v>
      </c>
      <c r="AL156" s="175">
        <v>1.0011748454851641</v>
      </c>
      <c r="AM156" s="175">
        <v>256</v>
      </c>
      <c r="AN156" s="175">
        <v>0.025643594109986977</v>
      </c>
      <c r="AO156" s="175">
        <v>0.02236251499952398</v>
      </c>
      <c r="AP156" s="175">
        <v>0</v>
      </c>
      <c r="AQ156" s="175">
        <v>19</v>
      </c>
      <c r="AR156" s="175">
        <v>3</v>
      </c>
      <c r="AS156" s="175">
        <v>0</v>
      </c>
      <c r="AT156" s="175">
        <v>0</v>
      </c>
      <c r="AU156" s="175">
        <v>534.85</v>
      </c>
      <c r="AV156" s="175">
        <v>18.665046274656444</v>
      </c>
      <c r="AW156" s="175">
        <v>0.9724338141908656</v>
      </c>
      <c r="AX156" s="175">
        <v>385</v>
      </c>
      <c r="AY156" s="175">
        <v>2669</v>
      </c>
      <c r="AZ156" s="175">
        <v>0.14424878231547397</v>
      </c>
      <c r="BA156" s="175">
        <v>0.08306494623123947</v>
      </c>
      <c r="BB156" s="175">
        <v>0</v>
      </c>
      <c r="BC156" s="207">
        <v>3835</v>
      </c>
      <c r="BD156" s="175">
        <v>3629</v>
      </c>
      <c r="BE156" s="175">
        <v>1.056764949021769</v>
      </c>
      <c r="BF156" s="175">
        <v>0.6478580664306759</v>
      </c>
      <c r="BG156" s="175">
        <v>0</v>
      </c>
      <c r="BH156" s="175">
        <v>3</v>
      </c>
      <c r="BI156" s="207">
        <v>0</v>
      </c>
      <c r="BJ156" s="207">
        <v>-2395.92</v>
      </c>
      <c r="BK156" s="207">
        <v>-40930.299999999996</v>
      </c>
      <c r="BL156" s="207">
        <v>-2795.2400000000002</v>
      </c>
      <c r="BM156" s="207">
        <v>0</v>
      </c>
      <c r="BN156" s="207">
        <v>0</v>
      </c>
      <c r="BO156" s="207">
        <v>69280</v>
      </c>
      <c r="BP156" s="207">
        <v>-382677.46343989915</v>
      </c>
      <c r="BQ156" s="207">
        <v>-424876.48000000004</v>
      </c>
      <c r="BR156" s="207">
        <v>12822.151121586561</v>
      </c>
      <c r="BS156" s="207">
        <v>803272</v>
      </c>
      <c r="BT156" s="207">
        <v>260536</v>
      </c>
      <c r="BU156" s="207">
        <v>594607.0055709057</v>
      </c>
      <c r="BV156" s="207">
        <v>29984.572558197375</v>
      </c>
      <c r="BW156" s="207">
        <v>81713.79125779483</v>
      </c>
      <c r="BX156" s="207">
        <v>348205.48234426253</v>
      </c>
      <c r="BY156" s="207">
        <v>470837.27244409214</v>
      </c>
      <c r="BZ156" s="207">
        <v>887671.2259239312</v>
      </c>
      <c r="CA156" s="207">
        <v>228034.70317835227</v>
      </c>
      <c r="CB156" s="207">
        <v>418329.02621177264</v>
      </c>
      <c r="CC156" s="207">
        <v>898.4699999999999</v>
      </c>
      <c r="CD156" s="207">
        <v>7567.308102485476</v>
      </c>
      <c r="CE156" s="207">
        <v>579329.0735248929</v>
      </c>
      <c r="CF156" s="207">
        <v>-890197.5999150061</v>
      </c>
      <c r="CG156" s="207">
        <v>478877.97430082085</v>
      </c>
      <c r="CH156" s="207">
        <v>537620.0900585433</v>
      </c>
      <c r="CI156" s="207">
        <v>0</v>
      </c>
      <c r="CJ156" s="207">
        <v>4466034.767001881</v>
      </c>
      <c r="CK156" s="207">
        <v>-1262155</v>
      </c>
      <c r="CL156" s="207">
        <v>276838.37</v>
      </c>
      <c r="CM156" s="207">
        <v>124982.878</v>
      </c>
      <c r="CN156" s="207">
        <v>151855.492</v>
      </c>
      <c r="CO156" s="207">
        <v>20679041.56530676</v>
      </c>
      <c r="CP156" s="207">
        <v>24030723.102820776</v>
      </c>
      <c r="CQ156" s="207">
        <v>10256</v>
      </c>
    </row>
    <row r="157" spans="1:95" ht="11.25">
      <c r="A157" s="207">
        <v>507</v>
      </c>
      <c r="B157" s="207" t="s">
        <v>214</v>
      </c>
      <c r="C157" s="207">
        <v>5924</v>
      </c>
      <c r="D157" s="207">
        <v>22001643.79</v>
      </c>
      <c r="E157" s="207">
        <v>10708913.380362445</v>
      </c>
      <c r="F157" s="207">
        <v>1724712.5790311669</v>
      </c>
      <c r="G157" s="207">
        <v>34435269.74939361</v>
      </c>
      <c r="H157" s="207">
        <v>3664.46</v>
      </c>
      <c r="I157" s="207">
        <v>21708261.04</v>
      </c>
      <c r="J157" s="207">
        <v>12727008.709393613</v>
      </c>
      <c r="K157" s="207">
        <v>433069.37843592034</v>
      </c>
      <c r="L157" s="207">
        <v>-635270.7155208824</v>
      </c>
      <c r="M157" s="207">
        <v>0</v>
      </c>
      <c r="N157" s="207">
        <v>12524807.372308651</v>
      </c>
      <c r="O157" s="207">
        <v>3784114.1162744565</v>
      </c>
      <c r="P157" s="207">
        <v>16308921.488583107</v>
      </c>
      <c r="Q157" s="207">
        <v>256</v>
      </c>
      <c r="R157" s="207">
        <v>41</v>
      </c>
      <c r="S157" s="207">
        <v>301</v>
      </c>
      <c r="T157" s="207">
        <v>180</v>
      </c>
      <c r="U157" s="207">
        <v>161</v>
      </c>
      <c r="V157" s="207">
        <v>2885</v>
      </c>
      <c r="W157" s="207">
        <v>1171</v>
      </c>
      <c r="X157" s="207">
        <v>671</v>
      </c>
      <c r="Y157" s="207">
        <v>258</v>
      </c>
      <c r="Z157" s="207">
        <v>12</v>
      </c>
      <c r="AA157" s="207">
        <v>0</v>
      </c>
      <c r="AB157" s="207">
        <v>5788</v>
      </c>
      <c r="AC157" s="207">
        <v>124</v>
      </c>
      <c r="AD157" s="207">
        <v>2100</v>
      </c>
      <c r="AE157" s="481">
        <v>1.5300830681319033</v>
      </c>
      <c r="AF157" s="207">
        <v>10708913.380362445</v>
      </c>
      <c r="AG157" s="207" t="e">
        <v>#DIV/0!</v>
      </c>
      <c r="AH157" s="207" t="e">
        <v>#DIV/0!</v>
      </c>
      <c r="AI157" s="207" t="e">
        <v>#DIV/0!</v>
      </c>
      <c r="AJ157" s="175">
        <v>240</v>
      </c>
      <c r="AK157" s="175">
        <v>2451</v>
      </c>
      <c r="AL157" s="175">
        <v>1.0036728337541931</v>
      </c>
      <c r="AM157" s="175">
        <v>124</v>
      </c>
      <c r="AN157" s="175">
        <v>0.020931802835921675</v>
      </c>
      <c r="AO157" s="175">
        <v>0.01765072372545868</v>
      </c>
      <c r="AP157" s="175">
        <v>0</v>
      </c>
      <c r="AQ157" s="175">
        <v>12</v>
      </c>
      <c r="AR157" s="175">
        <v>0</v>
      </c>
      <c r="AS157" s="175">
        <v>0</v>
      </c>
      <c r="AT157" s="175">
        <v>0</v>
      </c>
      <c r="AU157" s="175">
        <v>980.87</v>
      </c>
      <c r="AV157" s="175">
        <v>6.039536329992761</v>
      </c>
      <c r="AW157" s="175">
        <v>3.005284039898296</v>
      </c>
      <c r="AX157" s="175">
        <v>247</v>
      </c>
      <c r="AY157" s="175">
        <v>1464</v>
      </c>
      <c r="AZ157" s="175">
        <v>0.1687158469945355</v>
      </c>
      <c r="BA157" s="175">
        <v>0.10753201091030101</v>
      </c>
      <c r="BB157" s="175">
        <v>0.1874</v>
      </c>
      <c r="BC157" s="207">
        <v>1845</v>
      </c>
      <c r="BD157" s="175">
        <v>2039</v>
      </c>
      <c r="BE157" s="175">
        <v>0.9048553212359</v>
      </c>
      <c r="BF157" s="175">
        <v>0.49594843864480687</v>
      </c>
      <c r="BG157" s="175">
        <v>0</v>
      </c>
      <c r="BH157" s="175">
        <v>0</v>
      </c>
      <c r="BI157" s="207">
        <v>0</v>
      </c>
      <c r="BJ157" s="207">
        <v>-1421.76</v>
      </c>
      <c r="BK157" s="207">
        <v>-24288.399999999998</v>
      </c>
      <c r="BL157" s="207">
        <v>-1658.7200000000003</v>
      </c>
      <c r="BM157" s="207">
        <v>0</v>
      </c>
      <c r="BN157" s="207">
        <v>0</v>
      </c>
      <c r="BO157" s="207">
        <v>-181678</v>
      </c>
      <c r="BP157" s="207">
        <v>-200162.6745670475</v>
      </c>
      <c r="BQ157" s="207">
        <v>-252125.44</v>
      </c>
      <c r="BR157" s="207">
        <v>122414.00437887199</v>
      </c>
      <c r="BS157" s="207">
        <v>612511</v>
      </c>
      <c r="BT157" s="207">
        <v>180567</v>
      </c>
      <c r="BU157" s="207">
        <v>450385.43213346513</v>
      </c>
      <c r="BV157" s="207">
        <v>24541.28516919258</v>
      </c>
      <c r="BW157" s="207">
        <v>82977.25452723737</v>
      </c>
      <c r="BX157" s="207">
        <v>229492.8758543228</v>
      </c>
      <c r="BY157" s="207">
        <v>315091.644873337</v>
      </c>
      <c r="BZ157" s="207">
        <v>509287.6136667533</v>
      </c>
      <c r="CA157" s="207">
        <v>144620.6813741098</v>
      </c>
      <c r="CB157" s="207">
        <v>270129.4987416424</v>
      </c>
      <c r="CC157" s="207">
        <v>533.16</v>
      </c>
      <c r="CD157" s="207">
        <v>-39742.59923086878</v>
      </c>
      <c r="CE157" s="207">
        <v>209837.8390461651</v>
      </c>
      <c r="CF157" s="207">
        <v>-635270.7155208824</v>
      </c>
      <c r="CG157" s="207">
        <v>302446.5138981619</v>
      </c>
      <c r="CH157" s="207">
        <v>371243.288166111</v>
      </c>
      <c r="CI157" s="207">
        <v>0</v>
      </c>
      <c r="CJ157" s="207">
        <v>3784114.1162744565</v>
      </c>
      <c r="CK157" s="207">
        <v>-232432</v>
      </c>
      <c r="CL157" s="207">
        <v>248275.14000000004</v>
      </c>
      <c r="CM157" s="207">
        <v>88621</v>
      </c>
      <c r="CN157" s="207">
        <v>159654.14000000004</v>
      </c>
      <c r="CO157" s="207">
        <v>16076489.488583107</v>
      </c>
      <c r="CP157" s="207">
        <v>17658681.854260948</v>
      </c>
      <c r="CQ157" s="207">
        <v>6054</v>
      </c>
    </row>
    <row r="158" spans="1:95" ht="11.25">
      <c r="A158" s="207">
        <v>529</v>
      </c>
      <c r="B158" s="207" t="s">
        <v>215</v>
      </c>
      <c r="C158" s="207">
        <v>19245</v>
      </c>
      <c r="D158" s="207">
        <v>66160420.48000001</v>
      </c>
      <c r="E158" s="207">
        <v>19646241.230588704</v>
      </c>
      <c r="F158" s="207">
        <v>4011580.6583481506</v>
      </c>
      <c r="G158" s="207">
        <v>89818242.36893687</v>
      </c>
      <c r="H158" s="207">
        <v>3664.46</v>
      </c>
      <c r="I158" s="207">
        <v>70522532.7</v>
      </c>
      <c r="J158" s="207">
        <v>19295709.668936864</v>
      </c>
      <c r="K158" s="207">
        <v>384400.0254787258</v>
      </c>
      <c r="L158" s="207">
        <v>-2358786.5702760387</v>
      </c>
      <c r="M158" s="207">
        <v>0</v>
      </c>
      <c r="N158" s="207">
        <v>17321323.124139547</v>
      </c>
      <c r="O158" s="207">
        <v>-4903723.761423303</v>
      </c>
      <c r="P158" s="207">
        <v>12417599.362716245</v>
      </c>
      <c r="Q158" s="207">
        <v>991</v>
      </c>
      <c r="R158" s="207">
        <v>174</v>
      </c>
      <c r="S158" s="207">
        <v>1336</v>
      </c>
      <c r="T158" s="207">
        <v>694</v>
      </c>
      <c r="U158" s="207">
        <v>660</v>
      </c>
      <c r="V158" s="207">
        <v>10598</v>
      </c>
      <c r="W158" s="207">
        <v>2920</v>
      </c>
      <c r="X158" s="207">
        <v>1377</v>
      </c>
      <c r="Y158" s="207">
        <v>495</v>
      </c>
      <c r="Z158" s="207">
        <v>251</v>
      </c>
      <c r="AA158" s="207">
        <v>1</v>
      </c>
      <c r="AB158" s="207">
        <v>18512</v>
      </c>
      <c r="AC158" s="207">
        <v>481</v>
      </c>
      <c r="AD158" s="207">
        <v>4792</v>
      </c>
      <c r="AE158" s="481">
        <v>0.8640645949003641</v>
      </c>
      <c r="AF158" s="207">
        <v>19646241.230588704</v>
      </c>
      <c r="AG158" s="207" t="e">
        <v>#DIV/0!</v>
      </c>
      <c r="AH158" s="207" t="e">
        <v>#DIV/0!</v>
      </c>
      <c r="AI158" s="207" t="e">
        <v>#DIV/0!</v>
      </c>
      <c r="AJ158" s="175">
        <v>666</v>
      </c>
      <c r="AK158" s="175">
        <v>8950</v>
      </c>
      <c r="AL158" s="175">
        <v>0.7627380861005573</v>
      </c>
      <c r="AM158" s="175">
        <v>481</v>
      </c>
      <c r="AN158" s="175">
        <v>0.02499350480644323</v>
      </c>
      <c r="AO158" s="175">
        <v>0.021712425695980236</v>
      </c>
      <c r="AP158" s="175">
        <v>0</v>
      </c>
      <c r="AQ158" s="175">
        <v>251</v>
      </c>
      <c r="AR158" s="175">
        <v>1</v>
      </c>
      <c r="AS158" s="175">
        <v>3</v>
      </c>
      <c r="AT158" s="175">
        <v>4346</v>
      </c>
      <c r="AU158" s="175">
        <v>312.45</v>
      </c>
      <c r="AV158" s="175">
        <v>61.59385501680269</v>
      </c>
      <c r="AW158" s="175">
        <v>0.29468072969230036</v>
      </c>
      <c r="AX158" s="175">
        <v>657</v>
      </c>
      <c r="AY158" s="175">
        <v>6074</v>
      </c>
      <c r="AZ158" s="175">
        <v>0.10816595324333224</v>
      </c>
      <c r="BA158" s="175">
        <v>0.046982117159097746</v>
      </c>
      <c r="BB158" s="175">
        <v>0</v>
      </c>
      <c r="BC158" s="207">
        <v>5722</v>
      </c>
      <c r="BD158" s="175">
        <v>8024</v>
      </c>
      <c r="BE158" s="175">
        <v>0.713110667996012</v>
      </c>
      <c r="BF158" s="175">
        <v>0.3042037854049189</v>
      </c>
      <c r="BG158" s="175">
        <v>0</v>
      </c>
      <c r="BH158" s="175">
        <v>1</v>
      </c>
      <c r="BI158" s="207">
        <v>0</v>
      </c>
      <c r="BJ158" s="207">
        <v>-4618.8</v>
      </c>
      <c r="BK158" s="207">
        <v>-78904.5</v>
      </c>
      <c r="BL158" s="207">
        <v>-5388.6</v>
      </c>
      <c r="BM158" s="207">
        <v>0</v>
      </c>
      <c r="BN158" s="207">
        <v>0</v>
      </c>
      <c r="BO158" s="207">
        <v>-111370</v>
      </c>
      <c r="BP158" s="207">
        <v>-574948.1412307199</v>
      </c>
      <c r="BQ158" s="207">
        <v>-819067.2000000001</v>
      </c>
      <c r="BR158" s="207">
        <v>-180401.39770806208</v>
      </c>
      <c r="BS158" s="207">
        <v>1126269</v>
      </c>
      <c r="BT158" s="207">
        <v>399804</v>
      </c>
      <c r="BU158" s="207">
        <v>766201.2766296709</v>
      </c>
      <c r="BV158" s="207">
        <v>14389.925838253772</v>
      </c>
      <c r="BW158" s="207">
        <v>-431494.31892511674</v>
      </c>
      <c r="BX158" s="207">
        <v>292074.77072624414</v>
      </c>
      <c r="BY158" s="207">
        <v>716649.1748623804</v>
      </c>
      <c r="BZ158" s="207">
        <v>1313253.560745515</v>
      </c>
      <c r="CA158" s="207">
        <v>386703.96748320304</v>
      </c>
      <c r="CB158" s="207">
        <v>671825.3355864485</v>
      </c>
      <c r="CC158" s="207">
        <v>1732.05</v>
      </c>
      <c r="CD158" s="207">
        <v>-206526.12006763177</v>
      </c>
      <c r="CE158" s="207">
        <v>311364.72095468076</v>
      </c>
      <c r="CF158" s="207">
        <v>-2358786.5702760387</v>
      </c>
      <c r="CG158" s="207">
        <v>788877.6387303746</v>
      </c>
      <c r="CH158" s="207">
        <v>900736.8028028813</v>
      </c>
      <c r="CI158" s="207">
        <v>0</v>
      </c>
      <c r="CJ158" s="207">
        <v>-4903723.761423303</v>
      </c>
      <c r="CK158" s="207">
        <v>-1088635</v>
      </c>
      <c r="CL158" s="207">
        <v>512774.74</v>
      </c>
      <c r="CM158" s="207">
        <v>562562.0178</v>
      </c>
      <c r="CN158" s="207">
        <v>-49787.27780000004</v>
      </c>
      <c r="CO158" s="207">
        <v>11328964.362716245</v>
      </c>
      <c r="CP158" s="207">
        <v>14581967.83959551</v>
      </c>
      <c r="CQ158" s="207">
        <v>19167</v>
      </c>
    </row>
    <row r="159" spans="1:95" ht="11.25">
      <c r="A159" s="207">
        <v>531</v>
      </c>
      <c r="B159" s="207" t="s">
        <v>216</v>
      </c>
      <c r="C159" s="207">
        <v>5437</v>
      </c>
      <c r="D159" s="207">
        <v>20129176.53</v>
      </c>
      <c r="E159" s="207">
        <v>6197519.358359803</v>
      </c>
      <c r="F159" s="207">
        <v>834795.8796633845</v>
      </c>
      <c r="G159" s="207">
        <v>27161491.76802319</v>
      </c>
      <c r="H159" s="207">
        <v>3664.46</v>
      </c>
      <c r="I159" s="207">
        <v>19923669.02</v>
      </c>
      <c r="J159" s="207">
        <v>7237822.74802319</v>
      </c>
      <c r="K159" s="207">
        <v>108742.56292767262</v>
      </c>
      <c r="L159" s="207">
        <v>-542212.0601985642</v>
      </c>
      <c r="M159" s="207">
        <v>0</v>
      </c>
      <c r="N159" s="207">
        <v>6804353.250752298</v>
      </c>
      <c r="O159" s="207">
        <v>3182709.383189868</v>
      </c>
      <c r="P159" s="207">
        <v>9987062.633942166</v>
      </c>
      <c r="Q159" s="207">
        <v>277</v>
      </c>
      <c r="R159" s="207">
        <v>56</v>
      </c>
      <c r="S159" s="207">
        <v>379</v>
      </c>
      <c r="T159" s="207">
        <v>203</v>
      </c>
      <c r="U159" s="207">
        <v>198</v>
      </c>
      <c r="V159" s="207">
        <v>2833</v>
      </c>
      <c r="W159" s="207">
        <v>832</v>
      </c>
      <c r="X159" s="207">
        <v>471</v>
      </c>
      <c r="Y159" s="207">
        <v>188</v>
      </c>
      <c r="Z159" s="207">
        <v>27</v>
      </c>
      <c r="AA159" s="207">
        <v>0</v>
      </c>
      <c r="AB159" s="207">
        <v>5328</v>
      </c>
      <c r="AC159" s="207">
        <v>82</v>
      </c>
      <c r="AD159" s="207">
        <v>1491</v>
      </c>
      <c r="AE159" s="481">
        <v>0.9648131461455551</v>
      </c>
      <c r="AF159" s="207">
        <v>6197519.358359803</v>
      </c>
      <c r="AG159" s="207" t="e">
        <v>#DIV/0!</v>
      </c>
      <c r="AH159" s="207" t="e">
        <v>#DIV/0!</v>
      </c>
      <c r="AI159" s="207" t="e">
        <v>#DIV/0!</v>
      </c>
      <c r="AJ159" s="175">
        <v>204</v>
      </c>
      <c r="AK159" s="175">
        <v>2398</v>
      </c>
      <c r="AL159" s="175">
        <v>0.8719773970816507</v>
      </c>
      <c r="AM159" s="175">
        <v>82</v>
      </c>
      <c r="AN159" s="175">
        <v>0.015081846606584513</v>
      </c>
      <c r="AO159" s="175">
        <v>0.011800767496121516</v>
      </c>
      <c r="AP159" s="175">
        <v>0</v>
      </c>
      <c r="AQ159" s="175">
        <v>27</v>
      </c>
      <c r="AR159" s="175">
        <v>0</v>
      </c>
      <c r="AS159" s="175">
        <v>0</v>
      </c>
      <c r="AT159" s="175">
        <v>0</v>
      </c>
      <c r="AU159" s="175">
        <v>182.91</v>
      </c>
      <c r="AV159" s="175">
        <v>29.725001366792412</v>
      </c>
      <c r="AW159" s="175">
        <v>0.6106146780935127</v>
      </c>
      <c r="AX159" s="175">
        <v>201</v>
      </c>
      <c r="AY159" s="175">
        <v>1619</v>
      </c>
      <c r="AZ159" s="175">
        <v>0.12415071031500927</v>
      </c>
      <c r="BA159" s="175">
        <v>0.06296687423077477</v>
      </c>
      <c r="BB159" s="175">
        <v>0</v>
      </c>
      <c r="BC159" s="207">
        <v>1452</v>
      </c>
      <c r="BD159" s="175">
        <v>2035</v>
      </c>
      <c r="BE159" s="175">
        <v>0.7135135135135136</v>
      </c>
      <c r="BF159" s="175">
        <v>0.30460663092242046</v>
      </c>
      <c r="BG159" s="175">
        <v>0</v>
      </c>
      <c r="BH159" s="175">
        <v>0</v>
      </c>
      <c r="BI159" s="207">
        <v>0</v>
      </c>
      <c r="BJ159" s="207">
        <v>-1304.8799999999999</v>
      </c>
      <c r="BK159" s="207">
        <v>-22291.699999999997</v>
      </c>
      <c r="BL159" s="207">
        <v>-1522.3600000000001</v>
      </c>
      <c r="BM159" s="207">
        <v>0</v>
      </c>
      <c r="BN159" s="207">
        <v>0</v>
      </c>
      <c r="BO159" s="207">
        <v>-28716</v>
      </c>
      <c r="BP159" s="207">
        <v>-182293.1012573194</v>
      </c>
      <c r="BQ159" s="207">
        <v>-231398.72</v>
      </c>
      <c r="BR159" s="207">
        <v>-12822.98214763403</v>
      </c>
      <c r="BS159" s="207">
        <v>438841</v>
      </c>
      <c r="BT159" s="207">
        <v>144033</v>
      </c>
      <c r="BU159" s="207">
        <v>315657.2615734365</v>
      </c>
      <c r="BV159" s="207">
        <v>13267.612924917235</v>
      </c>
      <c r="BW159" s="207">
        <v>5784.877426108886</v>
      </c>
      <c r="BX159" s="207">
        <v>154824.90383729787</v>
      </c>
      <c r="BY159" s="207">
        <v>277279.57392231474</v>
      </c>
      <c r="BZ159" s="207">
        <v>446750.8001192693</v>
      </c>
      <c r="CA159" s="207">
        <v>120873.6093740913</v>
      </c>
      <c r="CB159" s="207">
        <v>226991.36700585016</v>
      </c>
      <c r="CC159" s="207">
        <v>489.33</v>
      </c>
      <c r="CD159" s="207">
        <v>29113.656547874874</v>
      </c>
      <c r="CE159" s="207">
        <v>232007.2310587553</v>
      </c>
      <c r="CF159" s="207">
        <v>-542212.0601985642</v>
      </c>
      <c r="CG159" s="207">
        <v>238560.59665851446</v>
      </c>
      <c r="CH159" s="207">
        <v>301719.0209057702</v>
      </c>
      <c r="CI159" s="207">
        <v>0</v>
      </c>
      <c r="CJ159" s="207">
        <v>3182709.383189868</v>
      </c>
      <c r="CK159" s="207">
        <v>-465239</v>
      </c>
      <c r="CL159" s="207">
        <v>84530.8</v>
      </c>
      <c r="CM159" s="207">
        <v>171570.25600000002</v>
      </c>
      <c r="CN159" s="207">
        <v>-87039.45600000002</v>
      </c>
      <c r="CO159" s="207">
        <v>9521823.633942166</v>
      </c>
      <c r="CP159" s="207">
        <v>10805814.007652357</v>
      </c>
      <c r="CQ159" s="207">
        <v>5521</v>
      </c>
    </row>
    <row r="160" spans="1:95" ht="11.25">
      <c r="A160" s="207">
        <v>535</v>
      </c>
      <c r="B160" s="207" t="s">
        <v>217</v>
      </c>
      <c r="C160" s="207">
        <v>10737</v>
      </c>
      <c r="D160" s="207">
        <v>44418570.879999995</v>
      </c>
      <c r="E160" s="207">
        <v>17623894.93715134</v>
      </c>
      <c r="F160" s="207">
        <v>1509929.0968737144</v>
      </c>
      <c r="G160" s="207">
        <v>63552394.91402505</v>
      </c>
      <c r="H160" s="207">
        <v>3664.46</v>
      </c>
      <c r="I160" s="207">
        <v>39345307.02</v>
      </c>
      <c r="J160" s="207">
        <v>24207087.89402505</v>
      </c>
      <c r="K160" s="207">
        <v>346035.20246682555</v>
      </c>
      <c r="L160" s="207">
        <v>-802880.9799752698</v>
      </c>
      <c r="M160" s="207">
        <v>0</v>
      </c>
      <c r="N160" s="207">
        <v>23750242.11651661</v>
      </c>
      <c r="O160" s="207">
        <v>11207847.495511362</v>
      </c>
      <c r="P160" s="207">
        <v>34958089.61202797</v>
      </c>
      <c r="Q160" s="207">
        <v>901</v>
      </c>
      <c r="R160" s="207">
        <v>181</v>
      </c>
      <c r="S160" s="207">
        <v>1078</v>
      </c>
      <c r="T160" s="207">
        <v>501</v>
      </c>
      <c r="U160" s="207">
        <v>483</v>
      </c>
      <c r="V160" s="207">
        <v>5266</v>
      </c>
      <c r="W160" s="207">
        <v>1293</v>
      </c>
      <c r="X160" s="207">
        <v>708</v>
      </c>
      <c r="Y160" s="207">
        <v>326</v>
      </c>
      <c r="Z160" s="207">
        <v>5</v>
      </c>
      <c r="AA160" s="207">
        <v>0</v>
      </c>
      <c r="AB160" s="207">
        <v>10636</v>
      </c>
      <c r="AC160" s="207">
        <v>96</v>
      </c>
      <c r="AD160" s="207">
        <v>2327</v>
      </c>
      <c r="AE160" s="481">
        <v>1.3893241835377825</v>
      </c>
      <c r="AF160" s="207">
        <v>17623894.93715134</v>
      </c>
      <c r="AG160" s="207" t="e">
        <v>#DIV/0!</v>
      </c>
      <c r="AH160" s="207" t="e">
        <v>#DIV/0!</v>
      </c>
      <c r="AI160" s="207" t="e">
        <v>#DIV/0!</v>
      </c>
      <c r="AJ160" s="175">
        <v>357</v>
      </c>
      <c r="AK160" s="175">
        <v>4473</v>
      </c>
      <c r="AL160" s="175">
        <v>0.8180758208927223</v>
      </c>
      <c r="AM160" s="175">
        <v>96</v>
      </c>
      <c r="AN160" s="175">
        <v>0.008941044984632579</v>
      </c>
      <c r="AO160" s="175">
        <v>0.0056599658741695825</v>
      </c>
      <c r="AP160" s="175">
        <v>0</v>
      </c>
      <c r="AQ160" s="175">
        <v>5</v>
      </c>
      <c r="AR160" s="175">
        <v>0</v>
      </c>
      <c r="AS160" s="175">
        <v>0</v>
      </c>
      <c r="AT160" s="175">
        <v>0</v>
      </c>
      <c r="AU160" s="175">
        <v>527.88</v>
      </c>
      <c r="AV160" s="175">
        <v>20.33984996590134</v>
      </c>
      <c r="AW160" s="175">
        <v>0.892362636466913</v>
      </c>
      <c r="AX160" s="175">
        <v>306</v>
      </c>
      <c r="AY160" s="175">
        <v>2863</v>
      </c>
      <c r="AZ160" s="175">
        <v>0.10688089416695774</v>
      </c>
      <c r="BA160" s="175">
        <v>0.04569705808272325</v>
      </c>
      <c r="BB160" s="175">
        <v>0</v>
      </c>
      <c r="BC160" s="207">
        <v>3500</v>
      </c>
      <c r="BD160" s="175">
        <v>3890</v>
      </c>
      <c r="BE160" s="175">
        <v>0.8997429305912596</v>
      </c>
      <c r="BF160" s="175">
        <v>0.49083604800016656</v>
      </c>
      <c r="BG160" s="175">
        <v>0</v>
      </c>
      <c r="BH160" s="175">
        <v>0</v>
      </c>
      <c r="BI160" s="207">
        <v>0</v>
      </c>
      <c r="BJ160" s="207">
        <v>-2576.88</v>
      </c>
      <c r="BK160" s="207">
        <v>-44021.7</v>
      </c>
      <c r="BL160" s="207">
        <v>-3006.36</v>
      </c>
      <c r="BM160" s="207">
        <v>0</v>
      </c>
      <c r="BN160" s="207">
        <v>0</v>
      </c>
      <c r="BO160" s="207">
        <v>-75295</v>
      </c>
      <c r="BP160" s="207">
        <v>-219358.14596146083</v>
      </c>
      <c r="BQ160" s="207">
        <v>-456966.72000000003</v>
      </c>
      <c r="BR160" s="207">
        <v>74965.71019779146</v>
      </c>
      <c r="BS160" s="207">
        <v>959779</v>
      </c>
      <c r="BT160" s="207">
        <v>298038</v>
      </c>
      <c r="BU160" s="207">
        <v>742244.5716010841</v>
      </c>
      <c r="BV160" s="207">
        <v>31395.044960570765</v>
      </c>
      <c r="BW160" s="207">
        <v>86216.86642767818</v>
      </c>
      <c r="BX160" s="207">
        <v>384828.58999843674</v>
      </c>
      <c r="BY160" s="207">
        <v>586699.586095908</v>
      </c>
      <c r="BZ160" s="207">
        <v>917056.1474282783</v>
      </c>
      <c r="CA160" s="207">
        <v>236083.63672031384</v>
      </c>
      <c r="CB160" s="207">
        <v>483486.1247853721</v>
      </c>
      <c r="CC160" s="207">
        <v>966.3299999999999</v>
      </c>
      <c r="CD160" s="207">
        <v>15964.159667927612</v>
      </c>
      <c r="CE160" s="207">
        <v>585414.3559861911</v>
      </c>
      <c r="CF160" s="207">
        <v>-802880.9799752698</v>
      </c>
      <c r="CG160" s="207">
        <v>558183.526120472</v>
      </c>
      <c r="CH160" s="207">
        <v>670010.0777499218</v>
      </c>
      <c r="CI160" s="207">
        <v>0</v>
      </c>
      <c r="CJ160" s="207">
        <v>11207847.495511362</v>
      </c>
      <c r="CK160" s="207">
        <v>-1019297</v>
      </c>
      <c r="CL160" s="207">
        <v>244048.60000000003</v>
      </c>
      <c r="CM160" s="207">
        <v>282496.48</v>
      </c>
      <c r="CN160" s="207">
        <v>-38447.87999999995</v>
      </c>
      <c r="CO160" s="207">
        <v>33938792.61202797</v>
      </c>
      <c r="CP160" s="207">
        <v>36762887.673785985</v>
      </c>
      <c r="CQ160" s="207">
        <v>10815</v>
      </c>
    </row>
    <row r="161" spans="1:95" ht="11.25">
      <c r="A161" s="207">
        <v>536</v>
      </c>
      <c r="B161" s="207" t="s">
        <v>218</v>
      </c>
      <c r="C161" s="207">
        <v>33527</v>
      </c>
      <c r="D161" s="207">
        <v>119987349.96</v>
      </c>
      <c r="E161" s="207">
        <v>32463654.311501846</v>
      </c>
      <c r="F161" s="207">
        <v>4742057.586974128</v>
      </c>
      <c r="G161" s="207">
        <v>157193061.85847595</v>
      </c>
      <c r="H161" s="207">
        <v>3664.46</v>
      </c>
      <c r="I161" s="207">
        <v>122858350.42</v>
      </c>
      <c r="J161" s="207">
        <v>34334711.43847595</v>
      </c>
      <c r="K161" s="207">
        <v>879141.0528987742</v>
      </c>
      <c r="L161" s="207">
        <v>-3905326.6685763644</v>
      </c>
      <c r="M161" s="207">
        <v>0</v>
      </c>
      <c r="N161" s="207">
        <v>31308525.82279836</v>
      </c>
      <c r="O161" s="207">
        <v>1626975.8130590955</v>
      </c>
      <c r="P161" s="207">
        <v>32935501.635857455</v>
      </c>
      <c r="Q161" s="207">
        <v>2181</v>
      </c>
      <c r="R161" s="207">
        <v>474</v>
      </c>
      <c r="S161" s="207">
        <v>2862</v>
      </c>
      <c r="T161" s="207">
        <v>1316</v>
      </c>
      <c r="U161" s="207">
        <v>1146</v>
      </c>
      <c r="V161" s="207">
        <v>18830</v>
      </c>
      <c r="W161" s="207">
        <v>4011</v>
      </c>
      <c r="X161" s="207">
        <v>1932</v>
      </c>
      <c r="Y161" s="207">
        <v>775</v>
      </c>
      <c r="Z161" s="207">
        <v>107</v>
      </c>
      <c r="AA161" s="207">
        <v>3</v>
      </c>
      <c r="AB161" s="207">
        <v>32551</v>
      </c>
      <c r="AC161" s="207">
        <v>866</v>
      </c>
      <c r="AD161" s="207">
        <v>6718</v>
      </c>
      <c r="AE161" s="481">
        <v>0.8195724744057841</v>
      </c>
      <c r="AF161" s="207">
        <v>32463654.311501846</v>
      </c>
      <c r="AG161" s="207" t="e">
        <v>#DIV/0!</v>
      </c>
      <c r="AH161" s="207" t="e">
        <v>#DIV/0!</v>
      </c>
      <c r="AI161" s="207" t="e">
        <v>#DIV/0!</v>
      </c>
      <c r="AJ161" s="175">
        <v>1266</v>
      </c>
      <c r="AK161" s="175">
        <v>15922</v>
      </c>
      <c r="AL161" s="175">
        <v>0.8150050973137047</v>
      </c>
      <c r="AM161" s="175">
        <v>866</v>
      </c>
      <c r="AN161" s="175">
        <v>0.02582992811763653</v>
      </c>
      <c r="AO161" s="175">
        <v>0.022548849007173535</v>
      </c>
      <c r="AP161" s="175">
        <v>0</v>
      </c>
      <c r="AQ161" s="175">
        <v>107</v>
      </c>
      <c r="AR161" s="175">
        <v>3</v>
      </c>
      <c r="AS161" s="175">
        <v>0</v>
      </c>
      <c r="AT161" s="175">
        <v>0</v>
      </c>
      <c r="AU161" s="175">
        <v>288.27</v>
      </c>
      <c r="AV161" s="175">
        <v>116.3041592951053</v>
      </c>
      <c r="AW161" s="175">
        <v>0.15606081717902107</v>
      </c>
      <c r="AX161" s="175">
        <v>1136</v>
      </c>
      <c r="AY161" s="175">
        <v>11429</v>
      </c>
      <c r="AZ161" s="175">
        <v>0.099396272639776</v>
      </c>
      <c r="BA161" s="175">
        <v>0.03821243655554151</v>
      </c>
      <c r="BB161" s="175">
        <v>0</v>
      </c>
      <c r="BC161" s="207">
        <v>11011</v>
      </c>
      <c r="BD161" s="175">
        <v>13623</v>
      </c>
      <c r="BE161" s="175">
        <v>0.8082654334581223</v>
      </c>
      <c r="BF161" s="175">
        <v>0.3993585508670292</v>
      </c>
      <c r="BG161" s="175">
        <v>0</v>
      </c>
      <c r="BH161" s="175">
        <v>3</v>
      </c>
      <c r="BI161" s="207">
        <v>0</v>
      </c>
      <c r="BJ161" s="207">
        <v>-8046.48</v>
      </c>
      <c r="BK161" s="207">
        <v>-137460.69999999998</v>
      </c>
      <c r="BL161" s="207">
        <v>-9387.560000000001</v>
      </c>
      <c r="BM161" s="207">
        <v>0</v>
      </c>
      <c r="BN161" s="207">
        <v>0</v>
      </c>
      <c r="BO161" s="207">
        <v>591491</v>
      </c>
      <c r="BP161" s="207">
        <v>-1660983.1603702672</v>
      </c>
      <c r="BQ161" s="207">
        <v>-1426909.12</v>
      </c>
      <c r="BR161" s="207">
        <v>-794237.1566494778</v>
      </c>
      <c r="BS161" s="207">
        <v>2025008</v>
      </c>
      <c r="BT161" s="207">
        <v>639058</v>
      </c>
      <c r="BU161" s="207">
        <v>1293658.0277316587</v>
      </c>
      <c r="BV161" s="207">
        <v>16113.233209466209</v>
      </c>
      <c r="BW161" s="207">
        <v>29726.065003372754</v>
      </c>
      <c r="BX161" s="207">
        <v>685453.0718300026</v>
      </c>
      <c r="BY161" s="207">
        <v>1344889.1313814824</v>
      </c>
      <c r="BZ161" s="207">
        <v>2233952.074535946</v>
      </c>
      <c r="CA161" s="207">
        <v>578686.8977107815</v>
      </c>
      <c r="CB161" s="207">
        <v>1155887.2384274635</v>
      </c>
      <c r="CC161" s="207">
        <v>3017.43</v>
      </c>
      <c r="CD161" s="207">
        <v>191644.28763538686</v>
      </c>
      <c r="CE161" s="207">
        <v>1405740.9817939028</v>
      </c>
      <c r="CF161" s="207">
        <v>-3905326.6685763644</v>
      </c>
      <c r="CG161" s="207">
        <v>1380633.6908079938</v>
      </c>
      <c r="CH161" s="207">
        <v>1521500.8261676424</v>
      </c>
      <c r="CI161" s="207">
        <v>0</v>
      </c>
      <c r="CJ161" s="207">
        <v>1626975.8130590955</v>
      </c>
      <c r="CK161" s="207">
        <v>-2533099</v>
      </c>
      <c r="CL161" s="207">
        <v>684699.48</v>
      </c>
      <c r="CM161" s="207">
        <v>879452.9896</v>
      </c>
      <c r="CN161" s="207">
        <v>-194753.5096</v>
      </c>
      <c r="CO161" s="207">
        <v>30402402.635857455</v>
      </c>
      <c r="CP161" s="207">
        <v>37259222.18440507</v>
      </c>
      <c r="CQ161" s="207">
        <v>33322</v>
      </c>
    </row>
    <row r="162" spans="1:95" ht="11.25">
      <c r="A162" s="207">
        <v>538</v>
      </c>
      <c r="B162" s="207" t="s">
        <v>219</v>
      </c>
      <c r="C162" s="207">
        <v>4733</v>
      </c>
      <c r="D162" s="207">
        <v>17525725.979999997</v>
      </c>
      <c r="E162" s="207">
        <v>4484056.852775319</v>
      </c>
      <c r="F162" s="207">
        <v>595343.56011315</v>
      </c>
      <c r="G162" s="207">
        <v>22605126.392888468</v>
      </c>
      <c r="H162" s="207">
        <v>3664.46</v>
      </c>
      <c r="I162" s="207">
        <v>17343889.18</v>
      </c>
      <c r="J162" s="207">
        <v>5261237.212888468</v>
      </c>
      <c r="K162" s="207">
        <v>14012.37780928767</v>
      </c>
      <c r="L162" s="207">
        <v>-323128.4715154833</v>
      </c>
      <c r="M162" s="207">
        <v>0</v>
      </c>
      <c r="N162" s="207">
        <v>4952121.119182273</v>
      </c>
      <c r="O162" s="207">
        <v>2090121.3363677927</v>
      </c>
      <c r="P162" s="207">
        <v>7042242.455550065</v>
      </c>
      <c r="Q162" s="207">
        <v>329</v>
      </c>
      <c r="R162" s="207">
        <v>59</v>
      </c>
      <c r="S162" s="207">
        <v>413</v>
      </c>
      <c r="T162" s="207">
        <v>206</v>
      </c>
      <c r="U162" s="207">
        <v>181</v>
      </c>
      <c r="V162" s="207">
        <v>2628</v>
      </c>
      <c r="W162" s="207">
        <v>546</v>
      </c>
      <c r="X162" s="207">
        <v>247</v>
      </c>
      <c r="Y162" s="207">
        <v>124</v>
      </c>
      <c r="Z162" s="207">
        <v>39</v>
      </c>
      <c r="AA162" s="207">
        <v>1</v>
      </c>
      <c r="AB162" s="207">
        <v>4623</v>
      </c>
      <c r="AC162" s="207">
        <v>70</v>
      </c>
      <c r="AD162" s="207">
        <v>917</v>
      </c>
      <c r="AE162" s="481">
        <v>0.8018982380209126</v>
      </c>
      <c r="AF162" s="207">
        <v>4484056.852775319</v>
      </c>
      <c r="AG162" s="207" t="e">
        <v>#DIV/0!</v>
      </c>
      <c r="AH162" s="207" t="e">
        <v>#DIV/0!</v>
      </c>
      <c r="AI162" s="207" t="e">
        <v>#DIV/0!</v>
      </c>
      <c r="AJ162" s="175">
        <v>133</v>
      </c>
      <c r="AK162" s="175">
        <v>2373</v>
      </c>
      <c r="AL162" s="175">
        <v>0.5744842698512662</v>
      </c>
      <c r="AM162" s="175">
        <v>70</v>
      </c>
      <c r="AN162" s="175">
        <v>0.01478977392774139</v>
      </c>
      <c r="AO162" s="175">
        <v>0.011508694817278394</v>
      </c>
      <c r="AP162" s="175">
        <v>0</v>
      </c>
      <c r="AQ162" s="175">
        <v>39</v>
      </c>
      <c r="AR162" s="175">
        <v>1</v>
      </c>
      <c r="AS162" s="175">
        <v>0</v>
      </c>
      <c r="AT162" s="175">
        <v>0</v>
      </c>
      <c r="AU162" s="175">
        <v>198.99</v>
      </c>
      <c r="AV162" s="175">
        <v>23.785114829890947</v>
      </c>
      <c r="AW162" s="175">
        <v>0.7631042469512598</v>
      </c>
      <c r="AX162" s="175">
        <v>181</v>
      </c>
      <c r="AY162" s="175">
        <v>1653</v>
      </c>
      <c r="AZ162" s="175">
        <v>0.10949788263762855</v>
      </c>
      <c r="BA162" s="175">
        <v>0.04831404655339406</v>
      </c>
      <c r="BB162" s="175">
        <v>0</v>
      </c>
      <c r="BC162" s="207">
        <v>977</v>
      </c>
      <c r="BD162" s="175">
        <v>2152</v>
      </c>
      <c r="BE162" s="175">
        <v>0.45399628252788105</v>
      </c>
      <c r="BF162" s="175">
        <v>0.045089399936787955</v>
      </c>
      <c r="BG162" s="175">
        <v>0</v>
      </c>
      <c r="BH162" s="175">
        <v>1</v>
      </c>
      <c r="BI162" s="207">
        <v>0</v>
      </c>
      <c r="BJ162" s="207">
        <v>-1135.9199999999998</v>
      </c>
      <c r="BK162" s="207">
        <v>-19405.3</v>
      </c>
      <c r="BL162" s="207">
        <v>-1325.2400000000002</v>
      </c>
      <c r="BM162" s="207">
        <v>0</v>
      </c>
      <c r="BN162" s="207">
        <v>0</v>
      </c>
      <c r="BO162" s="207">
        <v>-33501</v>
      </c>
      <c r="BP162" s="207">
        <v>-63167.57568925324</v>
      </c>
      <c r="BQ162" s="207">
        <v>-201436.48</v>
      </c>
      <c r="BR162" s="207">
        <v>79742.1947365161</v>
      </c>
      <c r="BS162" s="207">
        <v>391270</v>
      </c>
      <c r="BT162" s="207">
        <v>123013</v>
      </c>
      <c r="BU162" s="207">
        <v>242596.63038865852</v>
      </c>
      <c r="BV162" s="207">
        <v>3579.7945299190155</v>
      </c>
      <c r="BW162" s="207">
        <v>17659.404046923213</v>
      </c>
      <c r="BX162" s="207">
        <v>96120.12557031705</v>
      </c>
      <c r="BY162" s="207">
        <v>243463.35821764384</v>
      </c>
      <c r="BZ162" s="207">
        <v>418804.3747541638</v>
      </c>
      <c r="CA162" s="207">
        <v>102384.76512897338</v>
      </c>
      <c r="CB162" s="207">
        <v>193340.9530611128</v>
      </c>
      <c r="CC162" s="207">
        <v>425.96999999999997</v>
      </c>
      <c r="CD162" s="207">
        <v>5426.143595330752</v>
      </c>
      <c r="CE162" s="207">
        <v>255320.81417376996</v>
      </c>
      <c r="CF162" s="207">
        <v>-323128.4715154833</v>
      </c>
      <c r="CG162" s="207">
        <v>198541.8358419231</v>
      </c>
      <c r="CH162" s="207">
        <v>262466.7485045803</v>
      </c>
      <c r="CI162" s="207">
        <v>0</v>
      </c>
      <c r="CJ162" s="207">
        <v>2090121.3363677927</v>
      </c>
      <c r="CK162" s="207">
        <v>473118</v>
      </c>
      <c r="CL162" s="207">
        <v>105049.96999999999</v>
      </c>
      <c r="CM162" s="207">
        <v>136939.896</v>
      </c>
      <c r="CN162" s="207">
        <v>-31889.92600000002</v>
      </c>
      <c r="CO162" s="207">
        <v>7515360.455550065</v>
      </c>
      <c r="CP162" s="207">
        <v>8575685.181969602</v>
      </c>
      <c r="CQ162" s="207">
        <v>4813</v>
      </c>
    </row>
    <row r="163" spans="1:95" ht="11.25">
      <c r="A163" s="207">
        <v>541</v>
      </c>
      <c r="B163" s="207" t="s">
        <v>220</v>
      </c>
      <c r="C163" s="207">
        <v>7641</v>
      </c>
      <c r="D163" s="207">
        <v>28587524.919999998</v>
      </c>
      <c r="E163" s="207">
        <v>16322610.576097377</v>
      </c>
      <c r="F163" s="207">
        <v>2650701.6482892632</v>
      </c>
      <c r="G163" s="207">
        <v>47560837.144386634</v>
      </c>
      <c r="H163" s="207">
        <v>3664.46</v>
      </c>
      <c r="I163" s="207">
        <v>28000138.86</v>
      </c>
      <c r="J163" s="207">
        <v>19560698.284386635</v>
      </c>
      <c r="K163" s="207">
        <v>1911339.206508217</v>
      </c>
      <c r="L163" s="207">
        <v>-456515.84730753466</v>
      </c>
      <c r="M163" s="207">
        <v>0</v>
      </c>
      <c r="N163" s="207">
        <v>21015521.643587317</v>
      </c>
      <c r="O163" s="207">
        <v>6101195.9230185505</v>
      </c>
      <c r="P163" s="207">
        <v>27116717.566605866</v>
      </c>
      <c r="Q163" s="207">
        <v>332</v>
      </c>
      <c r="R163" s="207">
        <v>65</v>
      </c>
      <c r="S163" s="207">
        <v>376</v>
      </c>
      <c r="T163" s="207">
        <v>232</v>
      </c>
      <c r="U163" s="207">
        <v>216</v>
      </c>
      <c r="V163" s="207">
        <v>3839</v>
      </c>
      <c r="W163" s="207">
        <v>1413</v>
      </c>
      <c r="X163" s="207">
        <v>807</v>
      </c>
      <c r="Y163" s="207">
        <v>361</v>
      </c>
      <c r="Z163" s="207">
        <v>6</v>
      </c>
      <c r="AA163" s="207">
        <v>0</v>
      </c>
      <c r="AB163" s="207">
        <v>7505</v>
      </c>
      <c r="AC163" s="207">
        <v>130</v>
      </c>
      <c r="AD163" s="207">
        <v>2581</v>
      </c>
      <c r="AE163" s="481">
        <v>1.8081067731738607</v>
      </c>
      <c r="AF163" s="207">
        <v>16322610.576097377</v>
      </c>
      <c r="AG163" s="207" t="e">
        <v>#DIV/0!</v>
      </c>
      <c r="AH163" s="207" t="e">
        <v>#DIV/0!</v>
      </c>
      <c r="AI163" s="207" t="e">
        <v>#DIV/0!</v>
      </c>
      <c r="AJ163" s="175">
        <v>442</v>
      </c>
      <c r="AK163" s="175">
        <v>3209</v>
      </c>
      <c r="AL163" s="175">
        <v>1.4118117469940468</v>
      </c>
      <c r="AM163" s="175">
        <v>130</v>
      </c>
      <c r="AN163" s="175">
        <v>0.017013479911006414</v>
      </c>
      <c r="AO163" s="175">
        <v>0.013732400800543419</v>
      </c>
      <c r="AP163" s="175">
        <v>0</v>
      </c>
      <c r="AQ163" s="175">
        <v>6</v>
      </c>
      <c r="AR163" s="175">
        <v>0</v>
      </c>
      <c r="AS163" s="175">
        <v>0</v>
      </c>
      <c r="AT163" s="175">
        <v>0</v>
      </c>
      <c r="AU163" s="175">
        <v>1601.04</v>
      </c>
      <c r="AV163" s="175">
        <v>4.772522860140908</v>
      </c>
      <c r="AW163" s="175">
        <v>3.8031294291961295</v>
      </c>
      <c r="AX163" s="175">
        <v>287</v>
      </c>
      <c r="AY163" s="175">
        <v>1859</v>
      </c>
      <c r="AZ163" s="175">
        <v>0.15438407746100055</v>
      </c>
      <c r="BA163" s="175">
        <v>0.09320024137676605</v>
      </c>
      <c r="BB163" s="175">
        <v>0.965</v>
      </c>
      <c r="BC163" s="207">
        <v>2705</v>
      </c>
      <c r="BD163" s="175">
        <v>2603</v>
      </c>
      <c r="BE163" s="175">
        <v>1.0391855551286977</v>
      </c>
      <c r="BF163" s="175">
        <v>0.6302786725376046</v>
      </c>
      <c r="BG163" s="175">
        <v>0</v>
      </c>
      <c r="BH163" s="175">
        <v>0</v>
      </c>
      <c r="BI163" s="207">
        <v>0</v>
      </c>
      <c r="BJ163" s="207">
        <v>-1833.84</v>
      </c>
      <c r="BK163" s="207">
        <v>-31328.1</v>
      </c>
      <c r="BL163" s="207">
        <v>-2139.48</v>
      </c>
      <c r="BM163" s="207">
        <v>0</v>
      </c>
      <c r="BN163" s="207">
        <v>0</v>
      </c>
      <c r="BO163" s="207">
        <v>193779</v>
      </c>
      <c r="BP163" s="207">
        <v>-199388.39256843785</v>
      </c>
      <c r="BQ163" s="207">
        <v>-325200.96</v>
      </c>
      <c r="BR163" s="207">
        <v>-89808.90800933167</v>
      </c>
      <c r="BS163" s="207">
        <v>756826</v>
      </c>
      <c r="BT163" s="207">
        <v>234773</v>
      </c>
      <c r="BU163" s="207">
        <v>639524.9180393966</v>
      </c>
      <c r="BV163" s="207">
        <v>35355.39664014255</v>
      </c>
      <c r="BW163" s="207">
        <v>112339.74465221076</v>
      </c>
      <c r="BX163" s="207">
        <v>332146.3313516602</v>
      </c>
      <c r="BY163" s="207">
        <v>434638.1382878318</v>
      </c>
      <c r="BZ163" s="207">
        <v>682224.9709488422</v>
      </c>
      <c r="CA163" s="207">
        <v>206701.51051102657</v>
      </c>
      <c r="CB163" s="207">
        <v>371216.30686383793</v>
      </c>
      <c r="CC163" s="207">
        <v>687.6899999999999</v>
      </c>
      <c r="CD163" s="207">
        <v>44796.88406406356</v>
      </c>
      <c r="CE163" s="207">
        <v>574748.2152609032</v>
      </c>
      <c r="CF163" s="207">
        <v>-456515.84730753466</v>
      </c>
      <c r="CG163" s="207">
        <v>417728.9592061712</v>
      </c>
      <c r="CH163" s="207">
        <v>692579.8443631323</v>
      </c>
      <c r="CI163" s="207">
        <v>0</v>
      </c>
      <c r="CJ163" s="207">
        <v>6101195.9230185505</v>
      </c>
      <c r="CK163" s="207">
        <v>-679147</v>
      </c>
      <c r="CL163" s="207">
        <v>39606.770000000004</v>
      </c>
      <c r="CM163" s="207">
        <v>96051.52999999998</v>
      </c>
      <c r="CN163" s="207">
        <v>-56444.75999999998</v>
      </c>
      <c r="CO163" s="207">
        <v>26437570.566605866</v>
      </c>
      <c r="CP163" s="207">
        <v>28779309.97582347</v>
      </c>
      <c r="CQ163" s="207">
        <v>7765</v>
      </c>
    </row>
    <row r="164" spans="1:95" ht="11.25">
      <c r="A164" s="207">
        <v>543</v>
      </c>
      <c r="B164" s="207" t="s">
        <v>221</v>
      </c>
      <c r="C164" s="207">
        <v>42665</v>
      </c>
      <c r="D164" s="207">
        <v>151732589.03</v>
      </c>
      <c r="E164" s="207">
        <v>39431219.43286716</v>
      </c>
      <c r="F164" s="207">
        <v>7663764.663494741</v>
      </c>
      <c r="G164" s="207">
        <v>198827573.1263619</v>
      </c>
      <c r="H164" s="207">
        <v>3664.46</v>
      </c>
      <c r="I164" s="207">
        <v>156344185.9</v>
      </c>
      <c r="J164" s="207">
        <v>42483387.2263619</v>
      </c>
      <c r="K164" s="207">
        <v>579395.7691432874</v>
      </c>
      <c r="L164" s="207">
        <v>-5151683.038862506</v>
      </c>
      <c r="M164" s="207">
        <v>0</v>
      </c>
      <c r="N164" s="207">
        <v>37911099.95664269</v>
      </c>
      <c r="O164" s="207">
        <v>-6761676.744299289</v>
      </c>
      <c r="P164" s="207">
        <v>31149423.2123434</v>
      </c>
      <c r="Q164" s="207">
        <v>3017</v>
      </c>
      <c r="R164" s="207">
        <v>596</v>
      </c>
      <c r="S164" s="207">
        <v>3955</v>
      </c>
      <c r="T164" s="207">
        <v>1982</v>
      </c>
      <c r="U164" s="207">
        <v>1893</v>
      </c>
      <c r="V164" s="207">
        <v>24255</v>
      </c>
      <c r="W164" s="207">
        <v>4280</v>
      </c>
      <c r="X164" s="207">
        <v>2097</v>
      </c>
      <c r="Y164" s="207">
        <v>590</v>
      </c>
      <c r="Z164" s="207">
        <v>510</v>
      </c>
      <c r="AA164" s="207">
        <v>1</v>
      </c>
      <c r="AB164" s="207">
        <v>40178</v>
      </c>
      <c r="AC164" s="207">
        <v>1976</v>
      </c>
      <c r="AD164" s="207">
        <v>6967</v>
      </c>
      <c r="AE164" s="481">
        <v>0.7822635805388614</v>
      </c>
      <c r="AF164" s="207">
        <v>39431219.43286716</v>
      </c>
      <c r="AG164" s="207" t="e">
        <v>#DIV/0!</v>
      </c>
      <c r="AH164" s="207" t="e">
        <v>#DIV/0!</v>
      </c>
      <c r="AI164" s="207" t="e">
        <v>#DIV/0!</v>
      </c>
      <c r="AJ164" s="175">
        <v>1226</v>
      </c>
      <c r="AK164" s="175">
        <v>21078</v>
      </c>
      <c r="AL164" s="175">
        <v>0.5961908533466277</v>
      </c>
      <c r="AM164" s="175">
        <v>1976</v>
      </c>
      <c r="AN164" s="175">
        <v>0.04631430915270128</v>
      </c>
      <c r="AO164" s="175">
        <v>0.04303323004223828</v>
      </c>
      <c r="AP164" s="175">
        <v>0</v>
      </c>
      <c r="AQ164" s="175">
        <v>510</v>
      </c>
      <c r="AR164" s="175">
        <v>1</v>
      </c>
      <c r="AS164" s="175">
        <v>0</v>
      </c>
      <c r="AT164" s="175">
        <v>0</v>
      </c>
      <c r="AU164" s="175">
        <v>361.87</v>
      </c>
      <c r="AV164" s="175">
        <v>117.90145632409428</v>
      </c>
      <c r="AW164" s="175">
        <v>0.15394654745417202</v>
      </c>
      <c r="AX164" s="175">
        <v>2129</v>
      </c>
      <c r="AY164" s="175">
        <v>14911</v>
      </c>
      <c r="AZ164" s="175">
        <v>0.1427804976192073</v>
      </c>
      <c r="BA164" s="175">
        <v>0.0815966615349728</v>
      </c>
      <c r="BB164" s="175">
        <v>0</v>
      </c>
      <c r="BC164" s="207">
        <v>12008</v>
      </c>
      <c r="BD164" s="175">
        <v>19502</v>
      </c>
      <c r="BE164" s="175">
        <v>0.6157317198236079</v>
      </c>
      <c r="BF164" s="175">
        <v>0.20682483723251477</v>
      </c>
      <c r="BG164" s="175">
        <v>0</v>
      </c>
      <c r="BH164" s="175">
        <v>1</v>
      </c>
      <c r="BI164" s="207">
        <v>0</v>
      </c>
      <c r="BJ164" s="207">
        <v>-10239.6</v>
      </c>
      <c r="BK164" s="207">
        <v>-174926.49999999997</v>
      </c>
      <c r="BL164" s="207">
        <v>-11946.2</v>
      </c>
      <c r="BM164" s="207">
        <v>0</v>
      </c>
      <c r="BN164" s="207">
        <v>0</v>
      </c>
      <c r="BO164" s="207">
        <v>244629</v>
      </c>
      <c r="BP164" s="207">
        <v>-1916082.3651548552</v>
      </c>
      <c r="BQ164" s="207">
        <v>-1815822.4000000001</v>
      </c>
      <c r="BR164" s="207">
        <v>-528898.4591088146</v>
      </c>
      <c r="BS164" s="207">
        <v>2508951</v>
      </c>
      <c r="BT164" s="207">
        <v>815872</v>
      </c>
      <c r="BU164" s="207">
        <v>1541302.5968424971</v>
      </c>
      <c r="BV164" s="207">
        <v>-2689.5568037836974</v>
      </c>
      <c r="BW164" s="207">
        <v>-252744.74866968312</v>
      </c>
      <c r="BX164" s="207">
        <v>461128.2963192452</v>
      </c>
      <c r="BY164" s="207">
        <v>1697250.0701201775</v>
      </c>
      <c r="BZ164" s="207">
        <v>2641548.730693181</v>
      </c>
      <c r="CA164" s="207">
        <v>760307.2997173744</v>
      </c>
      <c r="CB164" s="207">
        <v>1322288.977590187</v>
      </c>
      <c r="CC164" s="207">
        <v>3839.85</v>
      </c>
      <c r="CD164" s="207">
        <v>-98782.32945846539</v>
      </c>
      <c r="CE164" s="207">
        <v>1409337.8762923488</v>
      </c>
      <c r="CF164" s="207">
        <v>-5151683.038862506</v>
      </c>
      <c r="CG164" s="207">
        <v>1746311.4648596286</v>
      </c>
      <c r="CH164" s="207">
        <v>1887068.1219747749</v>
      </c>
      <c r="CI164" s="207">
        <v>0</v>
      </c>
      <c r="CJ164" s="207">
        <v>-6761676.744299289</v>
      </c>
      <c r="CK164" s="207">
        <v>-6673136</v>
      </c>
      <c r="CL164" s="207">
        <v>443241.3400000002</v>
      </c>
      <c r="CM164" s="207">
        <v>912569.9756000002</v>
      </c>
      <c r="CN164" s="207">
        <v>-469328.63560000004</v>
      </c>
      <c r="CO164" s="207">
        <v>24476287.2123434</v>
      </c>
      <c r="CP164" s="207">
        <v>30372939.793196484</v>
      </c>
      <c r="CQ164" s="207">
        <v>42159</v>
      </c>
    </row>
    <row r="165" spans="1:95" ht="11.25">
      <c r="A165" s="207">
        <v>545</v>
      </c>
      <c r="B165" s="207" t="s">
        <v>222</v>
      </c>
      <c r="C165" s="207">
        <v>9471</v>
      </c>
      <c r="D165" s="207">
        <v>37427792.160000004</v>
      </c>
      <c r="E165" s="207">
        <v>10321464.264859326</v>
      </c>
      <c r="F165" s="207">
        <v>6582699.621985359</v>
      </c>
      <c r="G165" s="207">
        <v>54331956.04684469</v>
      </c>
      <c r="H165" s="207">
        <v>3664.46</v>
      </c>
      <c r="I165" s="207">
        <v>34706100.660000004</v>
      </c>
      <c r="J165" s="207">
        <v>19625855.386844687</v>
      </c>
      <c r="K165" s="207">
        <v>704129.4083793785</v>
      </c>
      <c r="L165" s="207">
        <v>-696683.8291818881</v>
      </c>
      <c r="M165" s="207">
        <v>0</v>
      </c>
      <c r="N165" s="207">
        <v>19633300.96604218</v>
      </c>
      <c r="O165" s="207">
        <v>7117873.244895768</v>
      </c>
      <c r="P165" s="207">
        <v>26751174.210937947</v>
      </c>
      <c r="Q165" s="207">
        <v>597</v>
      </c>
      <c r="R165" s="207">
        <v>98</v>
      </c>
      <c r="S165" s="207">
        <v>585</v>
      </c>
      <c r="T165" s="207">
        <v>244</v>
      </c>
      <c r="U165" s="207">
        <v>266</v>
      </c>
      <c r="V165" s="207">
        <v>4958</v>
      </c>
      <c r="W165" s="207">
        <v>1361</v>
      </c>
      <c r="X165" s="207">
        <v>843</v>
      </c>
      <c r="Y165" s="207">
        <v>519</v>
      </c>
      <c r="Z165" s="207">
        <v>7553</v>
      </c>
      <c r="AA165" s="207">
        <v>0</v>
      </c>
      <c r="AB165" s="207">
        <v>515</v>
      </c>
      <c r="AC165" s="207">
        <v>1403</v>
      </c>
      <c r="AD165" s="207">
        <v>2723</v>
      </c>
      <c r="AE165" s="481">
        <v>0.9224230143868171</v>
      </c>
      <c r="AF165" s="207">
        <v>10321464.264859326</v>
      </c>
      <c r="AG165" s="207" t="e">
        <v>#DIV/0!</v>
      </c>
      <c r="AH165" s="207" t="e">
        <v>#DIV/0!</v>
      </c>
      <c r="AI165" s="207" t="e">
        <v>#DIV/0!</v>
      </c>
      <c r="AJ165" s="175">
        <v>135</v>
      </c>
      <c r="AK165" s="175">
        <v>4404</v>
      </c>
      <c r="AL165" s="175">
        <v>0.3142032674810364</v>
      </c>
      <c r="AM165" s="175">
        <v>1403</v>
      </c>
      <c r="AN165" s="175">
        <v>0.14813641642909936</v>
      </c>
      <c r="AO165" s="175">
        <v>0.14485533731863637</v>
      </c>
      <c r="AP165" s="175">
        <v>3</v>
      </c>
      <c r="AQ165" s="175">
        <v>7553</v>
      </c>
      <c r="AR165" s="175">
        <v>0</v>
      </c>
      <c r="AS165" s="175">
        <v>3</v>
      </c>
      <c r="AT165" s="175">
        <v>99</v>
      </c>
      <c r="AU165" s="175">
        <v>977.71</v>
      </c>
      <c r="AV165" s="175">
        <v>9.686921479784393</v>
      </c>
      <c r="AW165" s="175">
        <v>1.8737141803813977</v>
      </c>
      <c r="AX165" s="175">
        <v>642</v>
      </c>
      <c r="AY165" s="175">
        <v>2736</v>
      </c>
      <c r="AZ165" s="175">
        <v>0.23464912280701755</v>
      </c>
      <c r="BA165" s="175">
        <v>0.17346528672278305</v>
      </c>
      <c r="BB165" s="175">
        <v>0.152383</v>
      </c>
      <c r="BC165" s="207">
        <v>4328</v>
      </c>
      <c r="BD165" s="175">
        <v>4165</v>
      </c>
      <c r="BE165" s="175">
        <v>1.0391356542617047</v>
      </c>
      <c r="BF165" s="175">
        <v>0.6302287716706116</v>
      </c>
      <c r="BG165" s="175">
        <v>0</v>
      </c>
      <c r="BH165" s="175">
        <v>0</v>
      </c>
      <c r="BI165" s="207">
        <v>0</v>
      </c>
      <c r="BJ165" s="207">
        <v>-2273.04</v>
      </c>
      <c r="BK165" s="207">
        <v>-38831.1</v>
      </c>
      <c r="BL165" s="207">
        <v>-2651.88</v>
      </c>
      <c r="BM165" s="207">
        <v>0</v>
      </c>
      <c r="BN165" s="207">
        <v>0</v>
      </c>
      <c r="BO165" s="207">
        <v>-230722</v>
      </c>
      <c r="BP165" s="207">
        <v>-79954.53726832382</v>
      </c>
      <c r="BQ165" s="207">
        <v>-403085.76</v>
      </c>
      <c r="BR165" s="207">
        <v>236161.79568575323</v>
      </c>
      <c r="BS165" s="207">
        <v>882100</v>
      </c>
      <c r="BT165" s="207">
        <v>360351</v>
      </c>
      <c r="BU165" s="207">
        <v>862960.744308594</v>
      </c>
      <c r="BV165" s="207">
        <v>51821.1785332741</v>
      </c>
      <c r="BW165" s="207">
        <v>100620.96981149455</v>
      </c>
      <c r="BX165" s="207">
        <v>341477.81833302096</v>
      </c>
      <c r="BY165" s="207">
        <v>661809.1977842076</v>
      </c>
      <c r="BZ165" s="207">
        <v>988815.4396264588</v>
      </c>
      <c r="CA165" s="207">
        <v>358380.75568269467</v>
      </c>
      <c r="CB165" s="207">
        <v>546498.5562518731</v>
      </c>
      <c r="CC165" s="207">
        <v>852.39</v>
      </c>
      <c r="CD165" s="207">
        <v>-78489.99687987202</v>
      </c>
      <c r="CE165" s="207">
        <v>414378.47808643576</v>
      </c>
      <c r="CF165" s="207">
        <v>-696683.8291818881</v>
      </c>
      <c r="CG165" s="207">
        <v>477199.99928055453</v>
      </c>
      <c r="CH165" s="207">
        <v>775066.8468628266</v>
      </c>
      <c r="CI165" s="207">
        <v>0</v>
      </c>
      <c r="CJ165" s="207">
        <v>7117873.244895768</v>
      </c>
      <c r="CK165" s="207">
        <v>171839</v>
      </c>
      <c r="CL165" s="207">
        <v>197693.00000000003</v>
      </c>
      <c r="CM165" s="207">
        <v>158154.4</v>
      </c>
      <c r="CN165" s="207">
        <v>39538.600000000035</v>
      </c>
      <c r="CO165" s="207">
        <v>26923013.210937947</v>
      </c>
      <c r="CP165" s="207">
        <v>29847638.582543507</v>
      </c>
      <c r="CQ165" s="207">
        <v>9507</v>
      </c>
    </row>
    <row r="166" spans="1:95" ht="11.25">
      <c r="A166" s="207">
        <v>560</v>
      </c>
      <c r="B166" s="207" t="s">
        <v>223</v>
      </c>
      <c r="C166" s="207">
        <v>16091</v>
      </c>
      <c r="D166" s="207">
        <v>58620164.620000005</v>
      </c>
      <c r="E166" s="207">
        <v>18144749.987487223</v>
      </c>
      <c r="F166" s="207">
        <v>3539191.902293421</v>
      </c>
      <c r="G166" s="207">
        <v>80304106.50978065</v>
      </c>
      <c r="H166" s="207">
        <v>3664.46</v>
      </c>
      <c r="I166" s="207">
        <v>58964825.86</v>
      </c>
      <c r="J166" s="207">
        <v>21339280.649780646</v>
      </c>
      <c r="K166" s="207">
        <v>332996.3712831188</v>
      </c>
      <c r="L166" s="207">
        <v>-1642969.9216578738</v>
      </c>
      <c r="M166" s="207">
        <v>0</v>
      </c>
      <c r="N166" s="207">
        <v>20029307.09940589</v>
      </c>
      <c r="O166" s="207">
        <v>9969568.897014137</v>
      </c>
      <c r="P166" s="207">
        <v>29998875.996420026</v>
      </c>
      <c r="Q166" s="207">
        <v>956</v>
      </c>
      <c r="R166" s="207">
        <v>201</v>
      </c>
      <c r="S166" s="207">
        <v>1177</v>
      </c>
      <c r="T166" s="207">
        <v>635</v>
      </c>
      <c r="U166" s="207">
        <v>506</v>
      </c>
      <c r="V166" s="207">
        <v>8666</v>
      </c>
      <c r="W166" s="207">
        <v>2337</v>
      </c>
      <c r="X166" s="207">
        <v>1136</v>
      </c>
      <c r="Y166" s="207">
        <v>477</v>
      </c>
      <c r="Z166" s="207">
        <v>103</v>
      </c>
      <c r="AA166" s="207">
        <v>3</v>
      </c>
      <c r="AB166" s="207">
        <v>15524</v>
      </c>
      <c r="AC166" s="207">
        <v>461</v>
      </c>
      <c r="AD166" s="207">
        <v>3950</v>
      </c>
      <c r="AE166" s="481">
        <v>0.9544487358079834</v>
      </c>
      <c r="AF166" s="207">
        <v>18144749.987487223</v>
      </c>
      <c r="AG166" s="207" t="e">
        <v>#DIV/0!</v>
      </c>
      <c r="AH166" s="207" t="e">
        <v>#DIV/0!</v>
      </c>
      <c r="AI166" s="207" t="e">
        <v>#DIV/0!</v>
      </c>
      <c r="AJ166" s="175">
        <v>739</v>
      </c>
      <c r="AK166" s="175">
        <v>7475</v>
      </c>
      <c r="AL166" s="175">
        <v>1.0133453530533993</v>
      </c>
      <c r="AM166" s="175">
        <v>461</v>
      </c>
      <c r="AN166" s="175">
        <v>0.028649555652227952</v>
      </c>
      <c r="AO166" s="175">
        <v>0.025368476541764957</v>
      </c>
      <c r="AP166" s="175">
        <v>0</v>
      </c>
      <c r="AQ166" s="175">
        <v>103</v>
      </c>
      <c r="AR166" s="175">
        <v>3</v>
      </c>
      <c r="AS166" s="175">
        <v>0</v>
      </c>
      <c r="AT166" s="175">
        <v>0</v>
      </c>
      <c r="AU166" s="175">
        <v>785.18</v>
      </c>
      <c r="AV166" s="175">
        <v>20.493390050689015</v>
      </c>
      <c r="AW166" s="175">
        <v>0.8856768985521225</v>
      </c>
      <c r="AX166" s="175">
        <v>823</v>
      </c>
      <c r="AY166" s="175">
        <v>5075</v>
      </c>
      <c r="AZ166" s="175">
        <v>0.16216748768472905</v>
      </c>
      <c r="BA166" s="175">
        <v>0.10098365160049455</v>
      </c>
      <c r="BB166" s="175">
        <v>0</v>
      </c>
      <c r="BC166" s="207">
        <v>4687</v>
      </c>
      <c r="BD166" s="175">
        <v>6473</v>
      </c>
      <c r="BE166" s="175">
        <v>0.7240846593542407</v>
      </c>
      <c r="BF166" s="175">
        <v>0.3151777767631476</v>
      </c>
      <c r="BG166" s="175">
        <v>0</v>
      </c>
      <c r="BH166" s="175">
        <v>3</v>
      </c>
      <c r="BI166" s="207">
        <v>0</v>
      </c>
      <c r="BJ166" s="207">
        <v>-3861.8399999999997</v>
      </c>
      <c r="BK166" s="207">
        <v>-65973.09999999999</v>
      </c>
      <c r="BL166" s="207">
        <v>-4505.4800000000005</v>
      </c>
      <c r="BM166" s="207">
        <v>0</v>
      </c>
      <c r="BN166" s="207">
        <v>0</v>
      </c>
      <c r="BO166" s="207">
        <v>-142897</v>
      </c>
      <c r="BP166" s="207">
        <v>-735739.9972390155</v>
      </c>
      <c r="BQ166" s="207">
        <v>-684832.9600000001</v>
      </c>
      <c r="BR166" s="207">
        <v>195649.91878824774</v>
      </c>
      <c r="BS166" s="207">
        <v>1347206</v>
      </c>
      <c r="BT166" s="207">
        <v>448989</v>
      </c>
      <c r="BU166" s="207">
        <v>1044372.1029025062</v>
      </c>
      <c r="BV166" s="207">
        <v>40840.80575134025</v>
      </c>
      <c r="BW166" s="207">
        <v>25536.415548027293</v>
      </c>
      <c r="BX166" s="207">
        <v>410477.114387732</v>
      </c>
      <c r="BY166" s="207">
        <v>841468.4395644694</v>
      </c>
      <c r="BZ166" s="207">
        <v>1345148.8386893263</v>
      </c>
      <c r="CA166" s="207">
        <v>396782.1098963483</v>
      </c>
      <c r="CB166" s="207">
        <v>698393.1445233382</v>
      </c>
      <c r="CC166" s="207">
        <v>1448.19</v>
      </c>
      <c r="CD166" s="207">
        <v>69151.48871490645</v>
      </c>
      <c r="CE166" s="207">
        <v>844597.2455811417</v>
      </c>
      <c r="CF166" s="207">
        <v>-1642969.9216578738</v>
      </c>
      <c r="CG166" s="207">
        <v>705314.5580779874</v>
      </c>
      <c r="CH166" s="207">
        <v>992943.0709077122</v>
      </c>
      <c r="CI166" s="207">
        <v>0</v>
      </c>
      <c r="CJ166" s="207">
        <v>9969568.897014137</v>
      </c>
      <c r="CK166" s="207">
        <v>-2106963</v>
      </c>
      <c r="CL166" s="207">
        <v>1131894.68</v>
      </c>
      <c r="CM166" s="207">
        <v>610399.6336000001</v>
      </c>
      <c r="CN166" s="207">
        <v>521495.0463999999</v>
      </c>
      <c r="CO166" s="207">
        <v>27891912.996420026</v>
      </c>
      <c r="CP166" s="207">
        <v>31726446.55459325</v>
      </c>
      <c r="CQ166" s="207">
        <v>16221</v>
      </c>
    </row>
    <row r="167" spans="1:95" ht="11.25">
      <c r="A167" s="207">
        <v>561</v>
      </c>
      <c r="B167" s="207" t="s">
        <v>224</v>
      </c>
      <c r="C167" s="207">
        <v>1364</v>
      </c>
      <c r="D167" s="207">
        <v>5650255.080000001</v>
      </c>
      <c r="E167" s="207">
        <v>1578221.2368339482</v>
      </c>
      <c r="F167" s="207">
        <v>411698.7546404384</v>
      </c>
      <c r="G167" s="207">
        <v>7640175.071474387</v>
      </c>
      <c r="H167" s="207">
        <v>3664.46</v>
      </c>
      <c r="I167" s="207">
        <v>4998323.44</v>
      </c>
      <c r="J167" s="207">
        <v>2641851.631474387</v>
      </c>
      <c r="K167" s="207">
        <v>35192.24575378617</v>
      </c>
      <c r="L167" s="207">
        <v>-34317.04953129272</v>
      </c>
      <c r="M167" s="207">
        <v>0</v>
      </c>
      <c r="N167" s="207">
        <v>2642726.8276968803</v>
      </c>
      <c r="O167" s="207">
        <v>1043191.9368007886</v>
      </c>
      <c r="P167" s="207">
        <v>3685918.764497669</v>
      </c>
      <c r="Q167" s="207">
        <v>74</v>
      </c>
      <c r="R167" s="207">
        <v>19</v>
      </c>
      <c r="S167" s="207">
        <v>102</v>
      </c>
      <c r="T167" s="207">
        <v>68</v>
      </c>
      <c r="U167" s="207">
        <v>49</v>
      </c>
      <c r="V167" s="207">
        <v>695</v>
      </c>
      <c r="W167" s="207">
        <v>186</v>
      </c>
      <c r="X167" s="207">
        <v>104</v>
      </c>
      <c r="Y167" s="207">
        <v>67</v>
      </c>
      <c r="Z167" s="207">
        <v>2</v>
      </c>
      <c r="AA167" s="207">
        <v>0</v>
      </c>
      <c r="AB167" s="207">
        <v>1269</v>
      </c>
      <c r="AC167" s="207">
        <v>93</v>
      </c>
      <c r="AD167" s="207">
        <v>357</v>
      </c>
      <c r="AE167" s="481">
        <v>0.9793505376389271</v>
      </c>
      <c r="AF167" s="207">
        <v>1578221.2368339482</v>
      </c>
      <c r="AG167" s="207" t="e">
        <v>#DIV/0!</v>
      </c>
      <c r="AH167" s="207" t="e">
        <v>#DIV/0!</v>
      </c>
      <c r="AI167" s="207" t="e">
        <v>#DIV/0!</v>
      </c>
      <c r="AJ167" s="175">
        <v>38</v>
      </c>
      <c r="AK167" s="175">
        <v>597</v>
      </c>
      <c r="AL167" s="175">
        <v>0.6524293717908852</v>
      </c>
      <c r="AM167" s="175">
        <v>93</v>
      </c>
      <c r="AN167" s="175">
        <v>0.06818181818181818</v>
      </c>
      <c r="AO167" s="175">
        <v>0.06490073907135518</v>
      </c>
      <c r="AP167" s="175">
        <v>0</v>
      </c>
      <c r="AQ167" s="175">
        <v>2</v>
      </c>
      <c r="AR167" s="175">
        <v>0</v>
      </c>
      <c r="AS167" s="175">
        <v>0</v>
      </c>
      <c r="AT167" s="175">
        <v>0</v>
      </c>
      <c r="AU167" s="175">
        <v>117.64</v>
      </c>
      <c r="AV167" s="175">
        <v>11.594695681740905</v>
      </c>
      <c r="AW167" s="175">
        <v>1.5654160004816902</v>
      </c>
      <c r="AX167" s="175">
        <v>71</v>
      </c>
      <c r="AY167" s="175">
        <v>384</v>
      </c>
      <c r="AZ167" s="175">
        <v>0.18489583333333334</v>
      </c>
      <c r="BA167" s="175">
        <v>0.12371199724909884</v>
      </c>
      <c r="BB167" s="175">
        <v>0</v>
      </c>
      <c r="BC167" s="207">
        <v>433</v>
      </c>
      <c r="BD167" s="175">
        <v>540</v>
      </c>
      <c r="BE167" s="175">
        <v>0.8018518518518518</v>
      </c>
      <c r="BF167" s="175">
        <v>0.3929449692607587</v>
      </c>
      <c r="BG167" s="175">
        <v>0</v>
      </c>
      <c r="BH167" s="175">
        <v>0</v>
      </c>
      <c r="BI167" s="207">
        <v>0</v>
      </c>
      <c r="BJ167" s="207">
        <v>-327.36</v>
      </c>
      <c r="BK167" s="207">
        <v>-5592.4</v>
      </c>
      <c r="BL167" s="207">
        <v>-381.92</v>
      </c>
      <c r="BM167" s="207">
        <v>0</v>
      </c>
      <c r="BN167" s="207">
        <v>0</v>
      </c>
      <c r="BO167" s="207">
        <v>-16189</v>
      </c>
      <c r="BP167" s="207">
        <v>-728.1931179552412</v>
      </c>
      <c r="BQ167" s="207">
        <v>-58051.840000000004</v>
      </c>
      <c r="BR167" s="207">
        <v>69611.57795016142</v>
      </c>
      <c r="BS167" s="207">
        <v>125388</v>
      </c>
      <c r="BT167" s="207">
        <v>47164</v>
      </c>
      <c r="BU167" s="207">
        <v>120705.51309423543</v>
      </c>
      <c r="BV167" s="207">
        <v>6912.047351031206</v>
      </c>
      <c r="BW167" s="207">
        <v>16468.420393850014</v>
      </c>
      <c r="BX167" s="207">
        <v>44923.49796783315</v>
      </c>
      <c r="BY167" s="207">
        <v>91105.93591017868</v>
      </c>
      <c r="BZ167" s="207">
        <v>127322.0639238273</v>
      </c>
      <c r="CA167" s="207">
        <v>42722.48011413476</v>
      </c>
      <c r="CB167" s="207">
        <v>69442.99291967465</v>
      </c>
      <c r="CC167" s="207">
        <v>122.75999999999999</v>
      </c>
      <c r="CD167" s="207">
        <v>-7089.873628083123</v>
      </c>
      <c r="CE167" s="207">
        <v>114909.8235866625</v>
      </c>
      <c r="CF167" s="207">
        <v>-34317.04953129272</v>
      </c>
      <c r="CG167" s="207">
        <v>67103.99926458421</v>
      </c>
      <c r="CH167" s="207">
        <v>104996.79819115203</v>
      </c>
      <c r="CI167" s="207">
        <v>0</v>
      </c>
      <c r="CJ167" s="207">
        <v>1043191.9368007886</v>
      </c>
      <c r="CK167" s="207">
        <v>-275937</v>
      </c>
      <c r="CL167" s="207">
        <v>0</v>
      </c>
      <c r="CM167" s="207">
        <v>758050.3999999999</v>
      </c>
      <c r="CN167" s="207">
        <v>-758050.3999999999</v>
      </c>
      <c r="CO167" s="207">
        <v>3409981.764497669</v>
      </c>
      <c r="CP167" s="207">
        <v>3828969.842819769</v>
      </c>
      <c r="CQ167" s="207">
        <v>1382</v>
      </c>
    </row>
    <row r="168" spans="1:95" ht="11.25">
      <c r="A168" s="207">
        <v>562</v>
      </c>
      <c r="B168" s="207" t="s">
        <v>225</v>
      </c>
      <c r="C168" s="207">
        <v>9221</v>
      </c>
      <c r="D168" s="207">
        <v>34536653.47</v>
      </c>
      <c r="E168" s="207">
        <v>11700359.69503213</v>
      </c>
      <c r="F168" s="207">
        <v>1736942.156480113</v>
      </c>
      <c r="G168" s="207">
        <v>47973955.321512245</v>
      </c>
      <c r="H168" s="207">
        <v>3664.46</v>
      </c>
      <c r="I168" s="207">
        <v>33789985.660000004</v>
      </c>
      <c r="J168" s="207">
        <v>14183969.66151224</v>
      </c>
      <c r="K168" s="207">
        <v>243432.85664115736</v>
      </c>
      <c r="L168" s="207">
        <v>-643053.6893375101</v>
      </c>
      <c r="M168" s="207">
        <v>0</v>
      </c>
      <c r="N168" s="207">
        <v>13784348.828815887</v>
      </c>
      <c r="O168" s="207">
        <v>5947941.319327812</v>
      </c>
      <c r="P168" s="207">
        <v>19732290.148143698</v>
      </c>
      <c r="Q168" s="207">
        <v>496</v>
      </c>
      <c r="R168" s="207">
        <v>88</v>
      </c>
      <c r="S168" s="207">
        <v>614</v>
      </c>
      <c r="T168" s="207">
        <v>305</v>
      </c>
      <c r="U168" s="207">
        <v>286</v>
      </c>
      <c r="V168" s="207">
        <v>4780</v>
      </c>
      <c r="W168" s="207">
        <v>1441</v>
      </c>
      <c r="X168" s="207">
        <v>848</v>
      </c>
      <c r="Y168" s="207">
        <v>363</v>
      </c>
      <c r="Z168" s="207">
        <v>12</v>
      </c>
      <c r="AA168" s="207">
        <v>1</v>
      </c>
      <c r="AB168" s="207">
        <v>9070</v>
      </c>
      <c r="AC168" s="207">
        <v>138</v>
      </c>
      <c r="AD168" s="207">
        <v>2652</v>
      </c>
      <c r="AE168" s="481">
        <v>1.0740038655361264</v>
      </c>
      <c r="AF168" s="207">
        <v>11700359.69503213</v>
      </c>
      <c r="AG168" s="207" t="e">
        <v>#DIV/0!</v>
      </c>
      <c r="AH168" s="207" t="e">
        <v>#DIV/0!</v>
      </c>
      <c r="AI168" s="207" t="e">
        <v>#DIV/0!</v>
      </c>
      <c r="AJ168" s="175">
        <v>341</v>
      </c>
      <c r="AK168" s="175">
        <v>4039</v>
      </c>
      <c r="AL168" s="175">
        <v>0.8653758370432562</v>
      </c>
      <c r="AM168" s="175">
        <v>138</v>
      </c>
      <c r="AN168" s="175">
        <v>0.014965838846112136</v>
      </c>
      <c r="AO168" s="175">
        <v>0.011684759735649138</v>
      </c>
      <c r="AP168" s="175">
        <v>0</v>
      </c>
      <c r="AQ168" s="175">
        <v>12</v>
      </c>
      <c r="AR168" s="175">
        <v>1</v>
      </c>
      <c r="AS168" s="175">
        <v>0</v>
      </c>
      <c r="AT168" s="175">
        <v>0</v>
      </c>
      <c r="AU168" s="175">
        <v>799.65</v>
      </c>
      <c r="AV168" s="175">
        <v>11.531294941536922</v>
      </c>
      <c r="AW168" s="175">
        <v>1.574022885802106</v>
      </c>
      <c r="AX168" s="175">
        <v>308</v>
      </c>
      <c r="AY168" s="175">
        <v>2630</v>
      </c>
      <c r="AZ168" s="175">
        <v>0.11711026615969582</v>
      </c>
      <c r="BA168" s="175">
        <v>0.055926430075461324</v>
      </c>
      <c r="BB168" s="175">
        <v>0</v>
      </c>
      <c r="BC168" s="207">
        <v>2793</v>
      </c>
      <c r="BD168" s="175">
        <v>3444</v>
      </c>
      <c r="BE168" s="175">
        <v>0.8109756097560976</v>
      </c>
      <c r="BF168" s="175">
        <v>0.4020687271650045</v>
      </c>
      <c r="BG168" s="175">
        <v>0</v>
      </c>
      <c r="BH168" s="175">
        <v>1</v>
      </c>
      <c r="BI168" s="207">
        <v>0</v>
      </c>
      <c r="BJ168" s="207">
        <v>-2213.04</v>
      </c>
      <c r="BK168" s="207">
        <v>-37806.1</v>
      </c>
      <c r="BL168" s="207">
        <v>-2581.88</v>
      </c>
      <c r="BM168" s="207">
        <v>0</v>
      </c>
      <c r="BN168" s="207">
        <v>0</v>
      </c>
      <c r="BO168" s="207">
        <v>126949</v>
      </c>
      <c r="BP168" s="207">
        <v>-230725.0871676149</v>
      </c>
      <c r="BQ168" s="207">
        <v>-392445.76</v>
      </c>
      <c r="BR168" s="207">
        <v>-13207.785282626748</v>
      </c>
      <c r="BS168" s="207">
        <v>830958</v>
      </c>
      <c r="BT168" s="207">
        <v>272171</v>
      </c>
      <c r="BU168" s="207">
        <v>596253.0285823218</v>
      </c>
      <c r="BV168" s="207">
        <v>27439.14402939919</v>
      </c>
      <c r="BW168" s="207">
        <v>84570.05489581006</v>
      </c>
      <c r="BX168" s="207">
        <v>269120.68028650165</v>
      </c>
      <c r="BY168" s="207">
        <v>520355.84063226765</v>
      </c>
      <c r="BZ168" s="207">
        <v>820429.6655784594</v>
      </c>
      <c r="CA168" s="207">
        <v>233185.05735749073</v>
      </c>
      <c r="CB168" s="207">
        <v>414341.8690886583</v>
      </c>
      <c r="CC168" s="207">
        <v>829.89</v>
      </c>
      <c r="CD168" s="207">
        <v>46504.37848529253</v>
      </c>
      <c r="CE168" s="207">
        <v>591561.6678301047</v>
      </c>
      <c r="CF168" s="207">
        <v>-643053.6893375101</v>
      </c>
      <c r="CG168" s="207">
        <v>421357.3946274388</v>
      </c>
      <c r="CH168" s="207">
        <v>573313.4659851883</v>
      </c>
      <c r="CI168" s="207">
        <v>0</v>
      </c>
      <c r="CJ168" s="207">
        <v>5947941.319327812</v>
      </c>
      <c r="CK168" s="207">
        <v>-526330</v>
      </c>
      <c r="CL168" s="207">
        <v>274179.74</v>
      </c>
      <c r="CM168" s="207">
        <v>296975.788</v>
      </c>
      <c r="CN168" s="207">
        <v>-22796.04800000001</v>
      </c>
      <c r="CO168" s="207">
        <v>19205960.148143698</v>
      </c>
      <c r="CP168" s="207">
        <v>21870040.817913275</v>
      </c>
      <c r="CQ168" s="207">
        <v>9285</v>
      </c>
    </row>
    <row r="169" spans="1:95" ht="11.25">
      <c r="A169" s="207">
        <v>563</v>
      </c>
      <c r="B169" s="207" t="s">
        <v>226</v>
      </c>
      <c r="C169" s="207">
        <v>7430</v>
      </c>
      <c r="D169" s="207">
        <v>29517877.549999997</v>
      </c>
      <c r="E169" s="207">
        <v>13636505.758987276</v>
      </c>
      <c r="F169" s="207">
        <v>1388845.5491473814</v>
      </c>
      <c r="G169" s="207">
        <v>44543228.85813466</v>
      </c>
      <c r="H169" s="207">
        <v>3664.46</v>
      </c>
      <c r="I169" s="207">
        <v>27226937.8</v>
      </c>
      <c r="J169" s="207">
        <v>17316291.058134656</v>
      </c>
      <c r="K169" s="207">
        <v>308573.9856119589</v>
      </c>
      <c r="L169" s="207">
        <v>-775002.4729523887</v>
      </c>
      <c r="M169" s="207">
        <v>0</v>
      </c>
      <c r="N169" s="207">
        <v>16849862.57079423</v>
      </c>
      <c r="O169" s="207">
        <v>5965701.198776486</v>
      </c>
      <c r="P169" s="207">
        <v>22815563.769570716</v>
      </c>
      <c r="Q169" s="207">
        <v>462</v>
      </c>
      <c r="R169" s="207">
        <v>99</v>
      </c>
      <c r="S169" s="207">
        <v>598</v>
      </c>
      <c r="T169" s="207">
        <v>294</v>
      </c>
      <c r="U169" s="207">
        <v>319</v>
      </c>
      <c r="V169" s="207">
        <v>3778</v>
      </c>
      <c r="W169" s="207">
        <v>1011</v>
      </c>
      <c r="X169" s="207">
        <v>569</v>
      </c>
      <c r="Y169" s="207">
        <v>300</v>
      </c>
      <c r="Z169" s="207">
        <v>12</v>
      </c>
      <c r="AA169" s="207">
        <v>0</v>
      </c>
      <c r="AB169" s="207">
        <v>7313</v>
      </c>
      <c r="AC169" s="207">
        <v>105</v>
      </c>
      <c r="AD169" s="207">
        <v>1880</v>
      </c>
      <c r="AE169" s="481">
        <v>1.5534559392095948</v>
      </c>
      <c r="AF169" s="207">
        <v>13636505.758987276</v>
      </c>
      <c r="AG169" s="207" t="e">
        <v>#DIV/0!</v>
      </c>
      <c r="AH169" s="207" t="e">
        <v>#DIV/0!</v>
      </c>
      <c r="AI169" s="207" t="e">
        <v>#DIV/0!</v>
      </c>
      <c r="AJ169" s="175">
        <v>306</v>
      </c>
      <c r="AK169" s="175">
        <v>3121</v>
      </c>
      <c r="AL169" s="175">
        <v>1.0049672211799736</v>
      </c>
      <c r="AM169" s="175">
        <v>105</v>
      </c>
      <c r="AN169" s="175">
        <v>0.014131897711978465</v>
      </c>
      <c r="AO169" s="175">
        <v>0.010850818601515468</v>
      </c>
      <c r="AP169" s="175">
        <v>0</v>
      </c>
      <c r="AQ169" s="175">
        <v>12</v>
      </c>
      <c r="AR169" s="175">
        <v>0</v>
      </c>
      <c r="AS169" s="175">
        <v>0</v>
      </c>
      <c r="AT169" s="175">
        <v>0</v>
      </c>
      <c r="AU169" s="175">
        <v>587.8</v>
      </c>
      <c r="AV169" s="175">
        <v>12.640353861857776</v>
      </c>
      <c r="AW169" s="175">
        <v>1.4359188310132922</v>
      </c>
      <c r="AX169" s="175">
        <v>193</v>
      </c>
      <c r="AY169" s="175">
        <v>1936</v>
      </c>
      <c r="AZ169" s="175">
        <v>0.0996900826446281</v>
      </c>
      <c r="BA169" s="175">
        <v>0.03850624656039361</v>
      </c>
      <c r="BB169" s="175">
        <v>0</v>
      </c>
      <c r="BC169" s="207">
        <v>2816</v>
      </c>
      <c r="BD169" s="175">
        <v>2704</v>
      </c>
      <c r="BE169" s="175">
        <v>1.0414201183431953</v>
      </c>
      <c r="BF169" s="175">
        <v>0.6325132357521022</v>
      </c>
      <c r="BG169" s="175">
        <v>0</v>
      </c>
      <c r="BH169" s="175">
        <v>0</v>
      </c>
      <c r="BI169" s="207">
        <v>0</v>
      </c>
      <c r="BJ169" s="207">
        <v>-1783.2</v>
      </c>
      <c r="BK169" s="207">
        <v>-30462.999999999996</v>
      </c>
      <c r="BL169" s="207">
        <v>-2080.4</v>
      </c>
      <c r="BM169" s="207">
        <v>0</v>
      </c>
      <c r="BN169" s="207">
        <v>0</v>
      </c>
      <c r="BO169" s="207">
        <v>-80932</v>
      </c>
      <c r="BP169" s="207">
        <v>-211063.15737009884</v>
      </c>
      <c r="BQ169" s="207">
        <v>-316220.8</v>
      </c>
      <c r="BR169" s="207">
        <v>-140909.5184260942</v>
      </c>
      <c r="BS169" s="207">
        <v>671353</v>
      </c>
      <c r="BT169" s="207">
        <v>207901</v>
      </c>
      <c r="BU169" s="207">
        <v>489424.8735210157</v>
      </c>
      <c r="BV169" s="207">
        <v>20115.51790016979</v>
      </c>
      <c r="BW169" s="207">
        <v>47737.777973836666</v>
      </c>
      <c r="BX169" s="207">
        <v>243027.83338420675</v>
      </c>
      <c r="BY169" s="207">
        <v>383364.1612117319</v>
      </c>
      <c r="BZ169" s="207">
        <v>631795.7651160285</v>
      </c>
      <c r="CA169" s="207">
        <v>164118.53861002752</v>
      </c>
      <c r="CB169" s="207">
        <v>320445.3298210681</v>
      </c>
      <c r="CC169" s="207">
        <v>668.6999999999999</v>
      </c>
      <c r="CD169" s="207">
        <v>67556.73214079102</v>
      </c>
      <c r="CE169" s="207">
        <v>244964.78441771015</v>
      </c>
      <c r="CF169" s="207">
        <v>-775002.4729523887</v>
      </c>
      <c r="CG169" s="207">
        <v>391225.1707030133</v>
      </c>
      <c r="CH169" s="207">
        <v>435799.40901019017</v>
      </c>
      <c r="CI169" s="207">
        <v>0</v>
      </c>
      <c r="CJ169" s="207">
        <v>5965701.198776486</v>
      </c>
      <c r="CK169" s="207">
        <v>-490523</v>
      </c>
      <c r="CL169" s="207">
        <v>294562.57</v>
      </c>
      <c r="CM169" s="207">
        <v>115125.49599999998</v>
      </c>
      <c r="CN169" s="207">
        <v>179437.07400000002</v>
      </c>
      <c r="CO169" s="207">
        <v>22325040.769570716</v>
      </c>
      <c r="CP169" s="207">
        <v>23677406.09167267</v>
      </c>
      <c r="CQ169" s="207">
        <v>7472</v>
      </c>
    </row>
    <row r="170" spans="1:95" ht="11.25">
      <c r="A170" s="207">
        <v>564</v>
      </c>
      <c r="B170" s="207" t="s">
        <v>227</v>
      </c>
      <c r="C170" s="207">
        <v>203567</v>
      </c>
      <c r="D170" s="207">
        <v>677718858.27</v>
      </c>
      <c r="E170" s="207">
        <v>236489712.26689184</v>
      </c>
      <c r="F170" s="207">
        <v>43466538.09267805</v>
      </c>
      <c r="G170" s="207">
        <v>957675108.6295699</v>
      </c>
      <c r="H170" s="207">
        <v>3664.46</v>
      </c>
      <c r="I170" s="207">
        <v>745963128.82</v>
      </c>
      <c r="J170" s="207">
        <v>211711979.80956984</v>
      </c>
      <c r="K170" s="207">
        <v>8511626.065541312</v>
      </c>
      <c r="L170" s="207">
        <v>-24503600.643345702</v>
      </c>
      <c r="M170" s="207">
        <v>0</v>
      </c>
      <c r="N170" s="207">
        <v>195720005.23176545</v>
      </c>
      <c r="O170" s="207">
        <v>36261815.51332934</v>
      </c>
      <c r="P170" s="207">
        <v>231981820.74509478</v>
      </c>
      <c r="Q170" s="207">
        <v>13951</v>
      </c>
      <c r="R170" s="207">
        <v>2669</v>
      </c>
      <c r="S170" s="207">
        <v>15782</v>
      </c>
      <c r="T170" s="207">
        <v>7408</v>
      </c>
      <c r="U170" s="207">
        <v>7130</v>
      </c>
      <c r="V170" s="207">
        <v>124547</v>
      </c>
      <c r="W170" s="207">
        <v>19010</v>
      </c>
      <c r="X170" s="207">
        <v>9565</v>
      </c>
      <c r="Y170" s="207">
        <v>3505</v>
      </c>
      <c r="Z170" s="207">
        <v>468</v>
      </c>
      <c r="AA170" s="207">
        <v>142</v>
      </c>
      <c r="AB170" s="207">
        <v>194461</v>
      </c>
      <c r="AC170" s="207">
        <v>8496</v>
      </c>
      <c r="AD170" s="207">
        <v>32080</v>
      </c>
      <c r="AE170" s="481">
        <v>0.9833079033694327</v>
      </c>
      <c r="AF170" s="207">
        <v>236489712.26689184</v>
      </c>
      <c r="AG170" s="207" t="e">
        <v>#DIV/0!</v>
      </c>
      <c r="AH170" s="207" t="e">
        <v>#DIV/0!</v>
      </c>
      <c r="AI170" s="207" t="e">
        <v>#DIV/0!</v>
      </c>
      <c r="AJ170" s="175">
        <v>11966</v>
      </c>
      <c r="AK170" s="175">
        <v>97832</v>
      </c>
      <c r="AL170" s="175">
        <v>1.2536961881273618</v>
      </c>
      <c r="AM170" s="175">
        <v>8496</v>
      </c>
      <c r="AN170" s="175">
        <v>0.0417356447754302</v>
      </c>
      <c r="AO170" s="175">
        <v>0.0384545656649672</v>
      </c>
      <c r="AP170" s="175">
        <v>0</v>
      </c>
      <c r="AQ170" s="175">
        <v>468</v>
      </c>
      <c r="AR170" s="175">
        <v>142</v>
      </c>
      <c r="AS170" s="175">
        <v>0</v>
      </c>
      <c r="AT170" s="175">
        <v>0</v>
      </c>
      <c r="AU170" s="175">
        <v>2971.96</v>
      </c>
      <c r="AV170" s="175">
        <v>68.49587477624193</v>
      </c>
      <c r="AW170" s="175">
        <v>0.26498708426173356</v>
      </c>
      <c r="AX170" s="175">
        <v>5787</v>
      </c>
      <c r="AY170" s="175">
        <v>64936</v>
      </c>
      <c r="AZ170" s="175">
        <v>0.08911851669335961</v>
      </c>
      <c r="BA170" s="175">
        <v>0.027934680609125122</v>
      </c>
      <c r="BB170" s="175">
        <v>0</v>
      </c>
      <c r="BC170" s="207">
        <v>85288</v>
      </c>
      <c r="BD170" s="175">
        <v>81560</v>
      </c>
      <c r="BE170" s="175">
        <v>1.045708680725846</v>
      </c>
      <c r="BF170" s="175">
        <v>0.6368017981347529</v>
      </c>
      <c r="BG170" s="175">
        <v>0</v>
      </c>
      <c r="BH170" s="175">
        <v>142</v>
      </c>
      <c r="BI170" s="207">
        <v>0</v>
      </c>
      <c r="BJ170" s="207">
        <v>-48856.08</v>
      </c>
      <c r="BK170" s="207">
        <v>-834624.7</v>
      </c>
      <c r="BL170" s="207">
        <v>-56998.76</v>
      </c>
      <c r="BM170" s="207">
        <v>0</v>
      </c>
      <c r="BN170" s="207">
        <v>0</v>
      </c>
      <c r="BO170" s="207">
        <v>2164676</v>
      </c>
      <c r="BP170" s="207">
        <v>-13145795.114678552</v>
      </c>
      <c r="BQ170" s="207">
        <v>-8663811.52</v>
      </c>
      <c r="BR170" s="207">
        <v>-1916537.577849215</v>
      </c>
      <c r="BS170" s="207">
        <v>11522544</v>
      </c>
      <c r="BT170" s="207">
        <v>4098255</v>
      </c>
      <c r="BU170" s="207">
        <v>9979124.861138187</v>
      </c>
      <c r="BV170" s="207">
        <v>334871.9485142128</v>
      </c>
      <c r="BW170" s="207">
        <v>2477521.5332884975</v>
      </c>
      <c r="BX170" s="207">
        <v>4353592.101941553</v>
      </c>
      <c r="BY170" s="207">
        <v>9470918.065931553</v>
      </c>
      <c r="BZ170" s="207">
        <v>12734337.278607612</v>
      </c>
      <c r="CA170" s="207">
        <v>4651088.988378025</v>
      </c>
      <c r="CB170" s="207">
        <v>8066328.4418830965</v>
      </c>
      <c r="CC170" s="207">
        <v>18321.03</v>
      </c>
      <c r="CD170" s="207">
        <v>1925239.6799779816</v>
      </c>
      <c r="CE170" s="207">
        <v>10804533.761332843</v>
      </c>
      <c r="CF170" s="207">
        <v>-24503600.643345702</v>
      </c>
      <c r="CG170" s="207">
        <v>8411303.299204078</v>
      </c>
      <c r="CH170" s="207">
        <v>11430544.624756549</v>
      </c>
      <c r="CI170" s="207">
        <v>0</v>
      </c>
      <c r="CJ170" s="207">
        <v>36261815.51332934</v>
      </c>
      <c r="CK170" s="207">
        <v>-6312053</v>
      </c>
      <c r="CL170" s="207">
        <v>1070268.9999999998</v>
      </c>
      <c r="CM170" s="207">
        <v>12553959.5122</v>
      </c>
      <c r="CN170" s="207">
        <v>-11483690.5122</v>
      </c>
      <c r="CO170" s="207">
        <v>225669767.74509478</v>
      </c>
      <c r="CP170" s="207">
        <v>269990813.2667428</v>
      </c>
      <c r="CQ170" s="207">
        <v>201810</v>
      </c>
    </row>
    <row r="171" spans="1:95" ht="11.25">
      <c r="A171" s="207">
        <v>309</v>
      </c>
      <c r="B171" s="207" t="s">
        <v>228</v>
      </c>
      <c r="C171" s="207">
        <v>6803</v>
      </c>
      <c r="D171" s="207">
        <v>24493257.63</v>
      </c>
      <c r="E171" s="207">
        <v>11651633.003742522</v>
      </c>
      <c r="F171" s="207">
        <v>1990394.2341441747</v>
      </c>
      <c r="G171" s="207">
        <v>38135284.86788669</v>
      </c>
      <c r="H171" s="207">
        <v>3664.46</v>
      </c>
      <c r="I171" s="207">
        <v>24929321.38</v>
      </c>
      <c r="J171" s="207">
        <v>13205963.487886693</v>
      </c>
      <c r="K171" s="207">
        <v>370939.29260201566</v>
      </c>
      <c r="L171" s="207">
        <v>-1001867.677814895</v>
      </c>
      <c r="M171" s="207">
        <v>0</v>
      </c>
      <c r="N171" s="207">
        <v>12575035.102673814</v>
      </c>
      <c r="O171" s="207">
        <v>6616033.9749342725</v>
      </c>
      <c r="P171" s="207">
        <v>19191069.077608086</v>
      </c>
      <c r="Q171" s="207">
        <v>330</v>
      </c>
      <c r="R171" s="207">
        <v>78</v>
      </c>
      <c r="S171" s="207">
        <v>437</v>
      </c>
      <c r="T171" s="207">
        <v>187</v>
      </c>
      <c r="U171" s="207">
        <v>214</v>
      </c>
      <c r="V171" s="207">
        <v>3490</v>
      </c>
      <c r="W171" s="207">
        <v>1199</v>
      </c>
      <c r="X171" s="207">
        <v>621</v>
      </c>
      <c r="Y171" s="207">
        <v>247</v>
      </c>
      <c r="Z171" s="207">
        <v>10</v>
      </c>
      <c r="AA171" s="207">
        <v>0</v>
      </c>
      <c r="AB171" s="207">
        <v>6554</v>
      </c>
      <c r="AC171" s="207">
        <v>239</v>
      </c>
      <c r="AD171" s="207">
        <v>2067</v>
      </c>
      <c r="AE171" s="481">
        <v>1.4496761014322392</v>
      </c>
      <c r="AF171" s="207">
        <v>11651633.003742522</v>
      </c>
      <c r="AG171" s="207" t="e">
        <v>#DIV/0!</v>
      </c>
      <c r="AH171" s="207" t="e">
        <v>#DIV/0!</v>
      </c>
      <c r="AI171" s="207" t="e">
        <v>#DIV/0!</v>
      </c>
      <c r="AJ171" s="175">
        <v>429</v>
      </c>
      <c r="AK171" s="175">
        <v>2721</v>
      </c>
      <c r="AL171" s="175">
        <v>1.616043286112681</v>
      </c>
      <c r="AM171" s="175">
        <v>239</v>
      </c>
      <c r="AN171" s="175">
        <v>0.03513155960605615</v>
      </c>
      <c r="AO171" s="175">
        <v>0.03185048049559315</v>
      </c>
      <c r="AP171" s="175">
        <v>0</v>
      </c>
      <c r="AQ171" s="175">
        <v>10</v>
      </c>
      <c r="AR171" s="175">
        <v>0</v>
      </c>
      <c r="AS171" s="175">
        <v>0</v>
      </c>
      <c r="AT171" s="175">
        <v>0</v>
      </c>
      <c r="AU171" s="175">
        <v>445.82</v>
      </c>
      <c r="AV171" s="175">
        <v>15.259521780090619</v>
      </c>
      <c r="AW171" s="175">
        <v>1.1894555021111142</v>
      </c>
      <c r="AX171" s="175">
        <v>249</v>
      </c>
      <c r="AY171" s="175">
        <v>1740</v>
      </c>
      <c r="AZ171" s="175">
        <v>0.14310344827586208</v>
      </c>
      <c r="BA171" s="175">
        <v>0.08191961219162758</v>
      </c>
      <c r="BB171" s="175">
        <v>0.0478</v>
      </c>
      <c r="BC171" s="207">
        <v>2366</v>
      </c>
      <c r="BD171" s="175">
        <v>2187</v>
      </c>
      <c r="BE171" s="175">
        <v>1.0818472793781435</v>
      </c>
      <c r="BF171" s="175">
        <v>0.6729403967870504</v>
      </c>
      <c r="BG171" s="175">
        <v>0</v>
      </c>
      <c r="BH171" s="175">
        <v>0</v>
      </c>
      <c r="BI171" s="207">
        <v>0</v>
      </c>
      <c r="BJ171" s="207">
        <v>-1632.72</v>
      </c>
      <c r="BK171" s="207">
        <v>-27892.3</v>
      </c>
      <c r="BL171" s="207">
        <v>-1904.8400000000001</v>
      </c>
      <c r="BM171" s="207">
        <v>0</v>
      </c>
      <c r="BN171" s="207">
        <v>0</v>
      </c>
      <c r="BO171" s="207">
        <v>-98614</v>
      </c>
      <c r="BP171" s="207">
        <v>-699759.8753680993</v>
      </c>
      <c r="BQ171" s="207">
        <v>-289535.68</v>
      </c>
      <c r="BR171" s="207">
        <v>145432.3681433089</v>
      </c>
      <c r="BS171" s="207">
        <v>623638</v>
      </c>
      <c r="BT171" s="207">
        <v>194928</v>
      </c>
      <c r="BU171" s="207">
        <v>495129.1066012289</v>
      </c>
      <c r="BV171" s="207">
        <v>27465.201518653055</v>
      </c>
      <c r="BW171" s="207">
        <v>76620.8839905472</v>
      </c>
      <c r="BX171" s="207">
        <v>277622.93648706295</v>
      </c>
      <c r="BY171" s="207">
        <v>355298.1467629101</v>
      </c>
      <c r="BZ171" s="207">
        <v>580213.7405274005</v>
      </c>
      <c r="CA171" s="207">
        <v>153037.84529078787</v>
      </c>
      <c r="CB171" s="207">
        <v>309166.59218559414</v>
      </c>
      <c r="CC171" s="207">
        <v>612.27</v>
      </c>
      <c r="CD171" s="207">
        <v>49425.28728884207</v>
      </c>
      <c r="CE171" s="207">
        <v>438534.8075532042</v>
      </c>
      <c r="CF171" s="207">
        <v>-1001867.677814895</v>
      </c>
      <c r="CG171" s="207">
        <v>334943.91212105314</v>
      </c>
      <c r="CH171" s="207">
        <v>401465.7843273854</v>
      </c>
      <c r="CI171" s="207">
        <v>0</v>
      </c>
      <c r="CJ171" s="207">
        <v>6616033.9749342725</v>
      </c>
      <c r="CK171" s="207">
        <v>-630485</v>
      </c>
      <c r="CL171" s="207">
        <v>111935.14000000001</v>
      </c>
      <c r="CM171" s="207">
        <v>140143.88599999997</v>
      </c>
      <c r="CN171" s="207">
        <v>-28208.745999999956</v>
      </c>
      <c r="CO171" s="207">
        <v>18560584.077608086</v>
      </c>
      <c r="CP171" s="207">
        <v>20392053.46924385</v>
      </c>
      <c r="CQ171" s="207">
        <v>7003</v>
      </c>
    </row>
    <row r="172" spans="1:95" ht="11.25">
      <c r="A172" s="207">
        <v>576</v>
      </c>
      <c r="B172" s="207" t="s">
        <v>229</v>
      </c>
      <c r="C172" s="207">
        <v>2963</v>
      </c>
      <c r="D172" s="207">
        <v>11577911.9</v>
      </c>
      <c r="E172" s="207">
        <v>4922283.571672755</v>
      </c>
      <c r="F172" s="207">
        <v>877655.3429741965</v>
      </c>
      <c r="G172" s="207">
        <v>17377850.81464695</v>
      </c>
      <c r="H172" s="207">
        <v>3664.46</v>
      </c>
      <c r="I172" s="207">
        <v>10857794.98</v>
      </c>
      <c r="J172" s="207">
        <v>6520055.834646951</v>
      </c>
      <c r="K172" s="207">
        <v>328845.4681062257</v>
      </c>
      <c r="L172" s="207">
        <v>-226620.70048126444</v>
      </c>
      <c r="M172" s="207">
        <v>0</v>
      </c>
      <c r="N172" s="207">
        <v>6622280.602271913</v>
      </c>
      <c r="O172" s="207">
        <v>2266623.9584661704</v>
      </c>
      <c r="P172" s="207">
        <v>8888904.560738083</v>
      </c>
      <c r="Q172" s="207">
        <v>92</v>
      </c>
      <c r="R172" s="207">
        <v>21</v>
      </c>
      <c r="S172" s="207">
        <v>145</v>
      </c>
      <c r="T172" s="207">
        <v>84</v>
      </c>
      <c r="U172" s="207">
        <v>67</v>
      </c>
      <c r="V172" s="207">
        <v>1398</v>
      </c>
      <c r="W172" s="207">
        <v>615</v>
      </c>
      <c r="X172" s="207">
        <v>368</v>
      </c>
      <c r="Y172" s="207">
        <v>173</v>
      </c>
      <c r="Z172" s="207">
        <v>11</v>
      </c>
      <c r="AA172" s="207">
        <v>0</v>
      </c>
      <c r="AB172" s="207">
        <v>2914</v>
      </c>
      <c r="AC172" s="207">
        <v>38</v>
      </c>
      <c r="AD172" s="207">
        <v>1156</v>
      </c>
      <c r="AE172" s="481">
        <v>1.40611108368133</v>
      </c>
      <c r="AF172" s="207">
        <v>4922283.571672755</v>
      </c>
      <c r="AG172" s="207" t="e">
        <v>#DIV/0!</v>
      </c>
      <c r="AH172" s="207" t="e">
        <v>#DIV/0!</v>
      </c>
      <c r="AI172" s="207" t="e">
        <v>#DIV/0!</v>
      </c>
      <c r="AJ172" s="175">
        <v>138</v>
      </c>
      <c r="AK172" s="175">
        <v>1173</v>
      </c>
      <c r="AL172" s="175">
        <v>1.205883389966435</v>
      </c>
      <c r="AM172" s="175">
        <v>38</v>
      </c>
      <c r="AN172" s="175">
        <v>0.01282483968950388</v>
      </c>
      <c r="AO172" s="175">
        <v>0.009543760579040883</v>
      </c>
      <c r="AP172" s="175">
        <v>0</v>
      </c>
      <c r="AQ172" s="175">
        <v>11</v>
      </c>
      <c r="AR172" s="175">
        <v>0</v>
      </c>
      <c r="AS172" s="175">
        <v>0</v>
      </c>
      <c r="AT172" s="175">
        <v>0</v>
      </c>
      <c r="AU172" s="175">
        <v>523.12</v>
      </c>
      <c r="AV172" s="175">
        <v>5.664092368863741</v>
      </c>
      <c r="AW172" s="175">
        <v>3.2044890794311502</v>
      </c>
      <c r="AX172" s="175">
        <v>105</v>
      </c>
      <c r="AY172" s="175">
        <v>675</v>
      </c>
      <c r="AZ172" s="175">
        <v>0.15555555555555556</v>
      </c>
      <c r="BA172" s="175">
        <v>0.09437171947132106</v>
      </c>
      <c r="BB172" s="175">
        <v>0.405533</v>
      </c>
      <c r="BC172" s="207">
        <v>773</v>
      </c>
      <c r="BD172" s="175">
        <v>1013</v>
      </c>
      <c r="BE172" s="175">
        <v>0.7630799605133267</v>
      </c>
      <c r="BF172" s="175">
        <v>0.3541730779222336</v>
      </c>
      <c r="BG172" s="175">
        <v>0</v>
      </c>
      <c r="BH172" s="175">
        <v>0</v>
      </c>
      <c r="BI172" s="207">
        <v>0</v>
      </c>
      <c r="BJ172" s="207">
        <v>-711.12</v>
      </c>
      <c r="BK172" s="207">
        <v>-12148.3</v>
      </c>
      <c r="BL172" s="207">
        <v>-829.6400000000001</v>
      </c>
      <c r="BM172" s="207">
        <v>0</v>
      </c>
      <c r="BN172" s="207">
        <v>0</v>
      </c>
      <c r="BO172" s="207">
        <v>39631</v>
      </c>
      <c r="BP172" s="207">
        <v>-107004.92057979363</v>
      </c>
      <c r="BQ172" s="207">
        <v>-126105.28000000001</v>
      </c>
      <c r="BR172" s="207">
        <v>31367.59674635902</v>
      </c>
      <c r="BS172" s="207">
        <v>333500</v>
      </c>
      <c r="BT172" s="207">
        <v>98579</v>
      </c>
      <c r="BU172" s="207">
        <v>244053.0007171452</v>
      </c>
      <c r="BV172" s="207">
        <v>13893.435066114844</v>
      </c>
      <c r="BW172" s="207">
        <v>51242.601931801124</v>
      </c>
      <c r="BX172" s="207">
        <v>118125.36311008477</v>
      </c>
      <c r="BY172" s="207">
        <v>174574.08487837674</v>
      </c>
      <c r="BZ172" s="207">
        <v>280874.32813366747</v>
      </c>
      <c r="CA172" s="207">
        <v>88419.75061236676</v>
      </c>
      <c r="CB172" s="207">
        <v>148608.44923375346</v>
      </c>
      <c r="CC172" s="207">
        <v>266.67</v>
      </c>
      <c r="CD172" s="207">
        <v>-23863.047361158522</v>
      </c>
      <c r="CE172" s="207">
        <v>202966.03009852918</v>
      </c>
      <c r="CF172" s="207">
        <v>-226620.70048126444</v>
      </c>
      <c r="CG172" s="207">
        <v>152630.4407133287</v>
      </c>
      <c r="CH172" s="207">
        <v>188474.96482659905</v>
      </c>
      <c r="CI172" s="207">
        <v>0</v>
      </c>
      <c r="CJ172" s="207">
        <v>2266623.9584661704</v>
      </c>
      <c r="CK172" s="207">
        <v>-243321</v>
      </c>
      <c r="CL172" s="207">
        <v>39538.600000000006</v>
      </c>
      <c r="CM172" s="207">
        <v>83521.884</v>
      </c>
      <c r="CN172" s="207">
        <v>-43983.284</v>
      </c>
      <c r="CO172" s="207">
        <v>8645583.560738083</v>
      </c>
      <c r="CP172" s="207">
        <v>9425687.06255323</v>
      </c>
      <c r="CQ172" s="207">
        <v>3027</v>
      </c>
    </row>
    <row r="173" spans="1:95" ht="11.25">
      <c r="A173" s="207">
        <v>577</v>
      </c>
      <c r="B173" s="207" t="s">
        <v>230</v>
      </c>
      <c r="C173" s="207">
        <v>10832</v>
      </c>
      <c r="D173" s="207">
        <v>39411963.769999996</v>
      </c>
      <c r="E173" s="207">
        <v>10391631.265217235</v>
      </c>
      <c r="F173" s="207">
        <v>1277384.0804064686</v>
      </c>
      <c r="G173" s="207">
        <v>51080979.115623705</v>
      </c>
      <c r="H173" s="207">
        <v>3664.46</v>
      </c>
      <c r="I173" s="207">
        <v>39693430.72</v>
      </c>
      <c r="J173" s="207">
        <v>11387548.395623706</v>
      </c>
      <c r="K173" s="207">
        <v>192006.63990380362</v>
      </c>
      <c r="L173" s="207">
        <v>-1317364.4301634398</v>
      </c>
      <c r="M173" s="207">
        <v>0</v>
      </c>
      <c r="N173" s="207">
        <v>10262190.605364071</v>
      </c>
      <c r="O173" s="207">
        <v>1897907.6106544072</v>
      </c>
      <c r="P173" s="207">
        <v>12160098.21601848</v>
      </c>
      <c r="Q173" s="207">
        <v>798</v>
      </c>
      <c r="R173" s="207">
        <v>152</v>
      </c>
      <c r="S173" s="207">
        <v>858</v>
      </c>
      <c r="T173" s="207">
        <v>405</v>
      </c>
      <c r="U173" s="207">
        <v>347</v>
      </c>
      <c r="V173" s="207">
        <v>5964</v>
      </c>
      <c r="W173" s="207">
        <v>1401</v>
      </c>
      <c r="X173" s="207">
        <v>624</v>
      </c>
      <c r="Y173" s="207">
        <v>283</v>
      </c>
      <c r="Z173" s="207">
        <v>103</v>
      </c>
      <c r="AA173" s="207">
        <v>1</v>
      </c>
      <c r="AB173" s="207">
        <v>10449</v>
      </c>
      <c r="AC173" s="207">
        <v>279</v>
      </c>
      <c r="AD173" s="207">
        <v>2308</v>
      </c>
      <c r="AE173" s="481">
        <v>0.8120069192146686</v>
      </c>
      <c r="AF173" s="207">
        <v>10391631.265217235</v>
      </c>
      <c r="AG173" s="207" t="e">
        <v>#DIV/0!</v>
      </c>
      <c r="AH173" s="207" t="e">
        <v>#DIV/0!</v>
      </c>
      <c r="AI173" s="207" t="e">
        <v>#DIV/0!</v>
      </c>
      <c r="AJ173" s="175">
        <v>221</v>
      </c>
      <c r="AK173" s="175">
        <v>5163</v>
      </c>
      <c r="AL173" s="175">
        <v>0.4387472299151556</v>
      </c>
      <c r="AM173" s="175">
        <v>279</v>
      </c>
      <c r="AN173" s="175">
        <v>0.02575701624815362</v>
      </c>
      <c r="AO173" s="175">
        <v>0.022475937137690624</v>
      </c>
      <c r="AP173" s="175">
        <v>0</v>
      </c>
      <c r="AQ173" s="175">
        <v>103</v>
      </c>
      <c r="AR173" s="175">
        <v>1</v>
      </c>
      <c r="AS173" s="175">
        <v>0</v>
      </c>
      <c r="AT173" s="175">
        <v>0</v>
      </c>
      <c r="AU173" s="175">
        <v>238.4</v>
      </c>
      <c r="AV173" s="175">
        <v>45.43624161073826</v>
      </c>
      <c r="AW173" s="175">
        <v>0.39947234844845825</v>
      </c>
      <c r="AX173" s="175">
        <v>366</v>
      </c>
      <c r="AY173" s="175">
        <v>3555</v>
      </c>
      <c r="AZ173" s="175">
        <v>0.1029535864978903</v>
      </c>
      <c r="BA173" s="175">
        <v>0.041769750413655805</v>
      </c>
      <c r="BB173" s="175">
        <v>0</v>
      </c>
      <c r="BC173" s="207">
        <v>3152</v>
      </c>
      <c r="BD173" s="175">
        <v>4643</v>
      </c>
      <c r="BE173" s="175">
        <v>0.6788714193409433</v>
      </c>
      <c r="BF173" s="175">
        <v>0.2699645367498502</v>
      </c>
      <c r="BG173" s="175">
        <v>0</v>
      </c>
      <c r="BH173" s="175">
        <v>1</v>
      </c>
      <c r="BI173" s="207">
        <v>0</v>
      </c>
      <c r="BJ173" s="207">
        <v>-2599.68</v>
      </c>
      <c r="BK173" s="207">
        <v>-44411.2</v>
      </c>
      <c r="BL173" s="207">
        <v>-3032.9600000000005</v>
      </c>
      <c r="BM173" s="207">
        <v>0</v>
      </c>
      <c r="BN173" s="207">
        <v>0</v>
      </c>
      <c r="BO173" s="207">
        <v>-100689</v>
      </c>
      <c r="BP173" s="207">
        <v>-588731.0908152696</v>
      </c>
      <c r="BQ173" s="207">
        <v>-461009.92000000004</v>
      </c>
      <c r="BR173" s="207">
        <v>95634.59417682327</v>
      </c>
      <c r="BS173" s="207">
        <v>715882</v>
      </c>
      <c r="BT173" s="207">
        <v>239696</v>
      </c>
      <c r="BU173" s="207">
        <v>484639.5318536193</v>
      </c>
      <c r="BV173" s="207">
        <v>8500.406288134975</v>
      </c>
      <c r="BW173" s="207">
        <v>9666.312235117239</v>
      </c>
      <c r="BX173" s="207">
        <v>210520.21530560398</v>
      </c>
      <c r="BY173" s="207">
        <v>502854.84421210585</v>
      </c>
      <c r="BZ173" s="207">
        <v>843472.5388440933</v>
      </c>
      <c r="CA173" s="207">
        <v>240276.306378402</v>
      </c>
      <c r="CB173" s="207">
        <v>418130.20248973597</v>
      </c>
      <c r="CC173" s="207">
        <v>974.88</v>
      </c>
      <c r="CD173" s="207">
        <v>-4644.177059116657</v>
      </c>
      <c r="CE173" s="207">
        <v>450646.50065182976</v>
      </c>
      <c r="CF173" s="207">
        <v>-1317364.4301634398</v>
      </c>
      <c r="CG173" s="207">
        <v>448646.52353412315</v>
      </c>
      <c r="CH173" s="207">
        <v>572691.4016922463</v>
      </c>
      <c r="CI173" s="207">
        <v>0</v>
      </c>
      <c r="CJ173" s="207">
        <v>1897907.6106544072</v>
      </c>
      <c r="CK173" s="207">
        <v>-416553</v>
      </c>
      <c r="CL173" s="207">
        <v>372208.20000000007</v>
      </c>
      <c r="CM173" s="207">
        <v>210318.084</v>
      </c>
      <c r="CN173" s="207">
        <v>161890.11600000007</v>
      </c>
      <c r="CO173" s="207">
        <v>11743545.21601848</v>
      </c>
      <c r="CP173" s="207">
        <v>13848069.0114371</v>
      </c>
      <c r="CQ173" s="207">
        <v>10730</v>
      </c>
    </row>
    <row r="174" spans="1:95" ht="11.25">
      <c r="A174" s="207">
        <v>578</v>
      </c>
      <c r="B174" s="207" t="s">
        <v>231</v>
      </c>
      <c r="C174" s="207">
        <v>3336</v>
      </c>
      <c r="D174" s="207">
        <v>12268762.690000001</v>
      </c>
      <c r="E174" s="207">
        <v>6807207.96136332</v>
      </c>
      <c r="F174" s="207">
        <v>1258581.7887393676</v>
      </c>
      <c r="G174" s="207">
        <v>20334552.44010269</v>
      </c>
      <c r="H174" s="207">
        <v>3664.46</v>
      </c>
      <c r="I174" s="207">
        <v>12224638.56</v>
      </c>
      <c r="J174" s="207">
        <v>8109913.880102688</v>
      </c>
      <c r="K174" s="207">
        <v>161221.85617021896</v>
      </c>
      <c r="L174" s="207">
        <v>-141019.2398212176</v>
      </c>
      <c r="M174" s="207">
        <v>0</v>
      </c>
      <c r="N174" s="207">
        <v>8130116.49645169</v>
      </c>
      <c r="O174" s="207">
        <v>3246836.258361968</v>
      </c>
      <c r="P174" s="207">
        <v>11376952.754813658</v>
      </c>
      <c r="Q174" s="207">
        <v>130</v>
      </c>
      <c r="R174" s="207">
        <v>27</v>
      </c>
      <c r="S174" s="207">
        <v>195</v>
      </c>
      <c r="T174" s="207">
        <v>106</v>
      </c>
      <c r="U174" s="207">
        <v>100</v>
      </c>
      <c r="V174" s="207">
        <v>1708</v>
      </c>
      <c r="W174" s="207">
        <v>601</v>
      </c>
      <c r="X174" s="207">
        <v>323</v>
      </c>
      <c r="Y174" s="207">
        <v>146</v>
      </c>
      <c r="Z174" s="207">
        <v>2</v>
      </c>
      <c r="AA174" s="207">
        <v>0</v>
      </c>
      <c r="AB174" s="207">
        <v>3298</v>
      </c>
      <c r="AC174" s="207">
        <v>36</v>
      </c>
      <c r="AD174" s="207">
        <v>1070</v>
      </c>
      <c r="AE174" s="481">
        <v>1.72714034824787</v>
      </c>
      <c r="AF174" s="207">
        <v>6807207.96136332</v>
      </c>
      <c r="AG174" s="207" t="e">
        <v>#DIV/0!</v>
      </c>
      <c r="AH174" s="207" t="e">
        <v>#DIV/0!</v>
      </c>
      <c r="AI174" s="207" t="e">
        <v>#DIV/0!</v>
      </c>
      <c r="AJ174" s="175">
        <v>192</v>
      </c>
      <c r="AK174" s="175">
        <v>1357</v>
      </c>
      <c r="AL174" s="175">
        <v>1.45025916906796</v>
      </c>
      <c r="AM174" s="175">
        <v>36</v>
      </c>
      <c r="AN174" s="175">
        <v>0.01079136690647482</v>
      </c>
      <c r="AO174" s="175">
        <v>0.007510287796011824</v>
      </c>
      <c r="AP174" s="175">
        <v>0</v>
      </c>
      <c r="AQ174" s="175">
        <v>2</v>
      </c>
      <c r="AR174" s="175">
        <v>0</v>
      </c>
      <c r="AS174" s="175">
        <v>0</v>
      </c>
      <c r="AT174" s="175">
        <v>0</v>
      </c>
      <c r="AU174" s="175">
        <v>918.24</v>
      </c>
      <c r="AV174" s="175">
        <v>3.6330371144798743</v>
      </c>
      <c r="AW174" s="175">
        <v>4.995963864110345</v>
      </c>
      <c r="AX174" s="175">
        <v>114</v>
      </c>
      <c r="AY174" s="175">
        <v>854</v>
      </c>
      <c r="AZ174" s="175">
        <v>0.13348946135831383</v>
      </c>
      <c r="BA174" s="175">
        <v>0.07230562527407933</v>
      </c>
      <c r="BB174" s="175">
        <v>0.094216</v>
      </c>
      <c r="BC174" s="207">
        <v>933</v>
      </c>
      <c r="BD174" s="175">
        <v>1118</v>
      </c>
      <c r="BE174" s="175">
        <v>0.8345259391771019</v>
      </c>
      <c r="BF174" s="175">
        <v>0.42561905658600885</v>
      </c>
      <c r="BG174" s="175">
        <v>0</v>
      </c>
      <c r="BH174" s="175">
        <v>0</v>
      </c>
      <c r="BI174" s="207">
        <v>0</v>
      </c>
      <c r="BJ174" s="207">
        <v>-800.64</v>
      </c>
      <c r="BK174" s="207">
        <v>-13677.599999999999</v>
      </c>
      <c r="BL174" s="207">
        <v>-934.08</v>
      </c>
      <c r="BM174" s="207">
        <v>0</v>
      </c>
      <c r="BN174" s="207">
        <v>0</v>
      </c>
      <c r="BO174" s="207">
        <v>118187</v>
      </c>
      <c r="BP174" s="207">
        <v>-165218.83729590214</v>
      </c>
      <c r="BQ174" s="207">
        <v>-141980.16</v>
      </c>
      <c r="BR174" s="207">
        <v>99190.47213805467</v>
      </c>
      <c r="BS174" s="207">
        <v>359413</v>
      </c>
      <c r="BT174" s="207">
        <v>117091</v>
      </c>
      <c r="BU174" s="207">
        <v>292961.8091873133</v>
      </c>
      <c r="BV174" s="207">
        <v>17070.764551890865</v>
      </c>
      <c r="BW174" s="207">
        <v>64056.44933309336</v>
      </c>
      <c r="BX174" s="207">
        <v>149275.4613426207</v>
      </c>
      <c r="BY174" s="207">
        <v>171825.56490100868</v>
      </c>
      <c r="BZ174" s="207">
        <v>290627.2859584415</v>
      </c>
      <c r="CA174" s="207">
        <v>81329.21402320254</v>
      </c>
      <c r="CB174" s="207">
        <v>160375.5194643866</v>
      </c>
      <c r="CC174" s="207">
        <v>300.24</v>
      </c>
      <c r="CD174" s="207">
        <v>-12189.717954790236</v>
      </c>
      <c r="CE174" s="207">
        <v>387389.91747468454</v>
      </c>
      <c r="CF174" s="207">
        <v>-141019.2398212176</v>
      </c>
      <c r="CG174" s="207">
        <v>178599.2832914201</v>
      </c>
      <c r="CH174" s="207">
        <v>206023.776363088</v>
      </c>
      <c r="CI174" s="207">
        <v>0</v>
      </c>
      <c r="CJ174" s="207">
        <v>3246836.258361968</v>
      </c>
      <c r="CK174" s="207">
        <v>-13205</v>
      </c>
      <c r="CL174" s="207">
        <v>325920.77</v>
      </c>
      <c r="CM174" s="207">
        <v>66806.6</v>
      </c>
      <c r="CN174" s="207">
        <v>259114.17</v>
      </c>
      <c r="CO174" s="207">
        <v>11363747.754813658</v>
      </c>
      <c r="CP174" s="207">
        <v>12743273.621720916</v>
      </c>
      <c r="CQ174" s="207">
        <v>3435</v>
      </c>
    </row>
    <row r="175" spans="1:95" ht="11.25">
      <c r="A175" s="207">
        <v>445</v>
      </c>
      <c r="B175" s="207" t="s">
        <v>397</v>
      </c>
      <c r="C175" s="207">
        <v>15217</v>
      </c>
      <c r="D175" s="207">
        <v>55762047.7</v>
      </c>
      <c r="E175" s="207">
        <v>14499620.288141968</v>
      </c>
      <c r="F175" s="207">
        <v>11169622.91900005</v>
      </c>
      <c r="G175" s="207">
        <v>81431290.90714201</v>
      </c>
      <c r="H175" s="207">
        <v>3664.46</v>
      </c>
      <c r="I175" s="207">
        <v>55762087.82</v>
      </c>
      <c r="J175" s="207">
        <v>25669203.087142013</v>
      </c>
      <c r="K175" s="207">
        <v>389941.01816254074</v>
      </c>
      <c r="L175" s="207">
        <v>-868157.7524069126</v>
      </c>
      <c r="M175" s="207">
        <v>0</v>
      </c>
      <c r="N175" s="207">
        <v>25190986.35289764</v>
      </c>
      <c r="O175" s="207">
        <v>479018.8753580782</v>
      </c>
      <c r="P175" s="207">
        <v>25670005.22825572</v>
      </c>
      <c r="Q175" s="207">
        <v>799</v>
      </c>
      <c r="R175" s="207">
        <v>173</v>
      </c>
      <c r="S175" s="207">
        <v>1065</v>
      </c>
      <c r="T175" s="207">
        <v>557</v>
      </c>
      <c r="U175" s="207">
        <v>525</v>
      </c>
      <c r="V175" s="207">
        <v>7956</v>
      </c>
      <c r="W175" s="207">
        <v>2440</v>
      </c>
      <c r="X175" s="207">
        <v>1186</v>
      </c>
      <c r="Y175" s="207">
        <v>516</v>
      </c>
      <c r="Z175" s="207">
        <v>8396</v>
      </c>
      <c r="AA175" s="207">
        <v>0</v>
      </c>
      <c r="AB175" s="207">
        <v>6348</v>
      </c>
      <c r="AC175" s="207">
        <v>473</v>
      </c>
      <c r="AD175" s="207">
        <v>4142</v>
      </c>
      <c r="AE175" s="481">
        <v>0.806514615424138</v>
      </c>
      <c r="AF175" s="207">
        <v>14499620.288141968</v>
      </c>
      <c r="AG175" s="207" t="e">
        <v>#DIV/0!</v>
      </c>
      <c r="AH175" s="207" t="e">
        <v>#DIV/0!</v>
      </c>
      <c r="AI175" s="207" t="e">
        <v>#DIV/0!</v>
      </c>
      <c r="AJ175" s="175">
        <v>409</v>
      </c>
      <c r="AK175" s="175">
        <v>6940</v>
      </c>
      <c r="AL175" s="175">
        <v>0.6040711246712264</v>
      </c>
      <c r="AM175" s="175">
        <v>473</v>
      </c>
      <c r="AN175" s="175">
        <v>0.031083656436879804</v>
      </c>
      <c r="AO175" s="175">
        <v>0.02780257732641681</v>
      </c>
      <c r="AP175" s="175">
        <v>3</v>
      </c>
      <c r="AQ175" s="175">
        <v>8396</v>
      </c>
      <c r="AR175" s="175">
        <v>0</v>
      </c>
      <c r="AS175" s="175">
        <v>1</v>
      </c>
      <c r="AT175" s="175">
        <v>0</v>
      </c>
      <c r="AU175" s="175">
        <v>883.12</v>
      </c>
      <c r="AV175" s="175">
        <v>17.230953890750975</v>
      </c>
      <c r="AW175" s="175">
        <v>1.0533672283027693</v>
      </c>
      <c r="AX175" s="175">
        <v>584</v>
      </c>
      <c r="AY175" s="175">
        <v>4623</v>
      </c>
      <c r="AZ175" s="175">
        <v>0.1263248972528661</v>
      </c>
      <c r="BA175" s="175">
        <v>0.06514106116863161</v>
      </c>
      <c r="BB175" s="175">
        <v>0</v>
      </c>
      <c r="BC175" s="207">
        <v>5070</v>
      </c>
      <c r="BD175" s="175">
        <v>6344</v>
      </c>
      <c r="BE175" s="175">
        <v>0.7991803278688525</v>
      </c>
      <c r="BF175" s="175">
        <v>0.3902734452777594</v>
      </c>
      <c r="BG175" s="175">
        <v>0</v>
      </c>
      <c r="BH175" s="175">
        <v>0</v>
      </c>
      <c r="BI175" s="207">
        <v>0</v>
      </c>
      <c r="BJ175" s="207">
        <v>-3652.08</v>
      </c>
      <c r="BK175" s="207">
        <v>-62389.7</v>
      </c>
      <c r="BL175" s="207">
        <v>-4260.76</v>
      </c>
      <c r="BM175" s="207">
        <v>0</v>
      </c>
      <c r="BN175" s="207">
        <v>0</v>
      </c>
      <c r="BO175" s="207">
        <v>85094</v>
      </c>
      <c r="BP175" s="207">
        <v>-366474.33160591574</v>
      </c>
      <c r="BQ175" s="207">
        <v>-647635.52</v>
      </c>
      <c r="BR175" s="207">
        <v>391772.4688114561</v>
      </c>
      <c r="BS175" s="207">
        <v>1173170</v>
      </c>
      <c r="BT175" s="207">
        <v>399015</v>
      </c>
      <c r="BU175" s="207">
        <v>745570.3645870736</v>
      </c>
      <c r="BV175" s="207">
        <v>19521.031900683436</v>
      </c>
      <c r="BW175" s="207">
        <v>49051.652122313404</v>
      </c>
      <c r="BX175" s="207">
        <v>382602.86645309394</v>
      </c>
      <c r="BY175" s="207">
        <v>457327.302254667</v>
      </c>
      <c r="BZ175" s="207">
        <v>1129748.553591236</v>
      </c>
      <c r="CA175" s="207">
        <v>338308.8942937113</v>
      </c>
      <c r="CB175" s="207">
        <v>565510.6262282355</v>
      </c>
      <c r="CC175" s="207">
        <v>1369.53</v>
      </c>
      <c r="CD175" s="207">
        <v>-53524.12865177099</v>
      </c>
      <c r="CE175" s="207">
        <v>1154991.369199003</v>
      </c>
      <c r="CF175" s="207">
        <v>-868157.7524069126</v>
      </c>
      <c r="CG175" s="207">
        <v>715214.6690393179</v>
      </c>
      <c r="CH175" s="207">
        <v>785412.6181279824</v>
      </c>
      <c r="CI175" s="207">
        <v>0</v>
      </c>
      <c r="CJ175" s="207">
        <v>479018.8753580782</v>
      </c>
      <c r="CK175" s="207">
        <v>-583702</v>
      </c>
      <c r="CL175" s="207">
        <v>199397.25</v>
      </c>
      <c r="CM175" s="207">
        <v>205641.62200000006</v>
      </c>
      <c r="CN175" s="207">
        <v>-6244.372000000061</v>
      </c>
      <c r="CO175" s="207">
        <v>25086303.22825572</v>
      </c>
      <c r="CP175" s="207">
        <v>28059156.011594012</v>
      </c>
      <c r="CQ175" s="207">
        <v>15285</v>
      </c>
    </row>
    <row r="176" spans="1:95" ht="11.25">
      <c r="A176" s="207">
        <v>580</v>
      </c>
      <c r="B176" s="207" t="s">
        <v>232</v>
      </c>
      <c r="C176" s="207">
        <v>4842</v>
      </c>
      <c r="D176" s="207">
        <v>17802752.07</v>
      </c>
      <c r="E176" s="207">
        <v>8387208.600349541</v>
      </c>
      <c r="F176" s="207">
        <v>1322644.3852502785</v>
      </c>
      <c r="G176" s="207">
        <v>27512605.05559982</v>
      </c>
      <c r="H176" s="207">
        <v>3664.46</v>
      </c>
      <c r="I176" s="207">
        <v>17743315.32</v>
      </c>
      <c r="J176" s="207">
        <v>9769289.73559982</v>
      </c>
      <c r="K176" s="207">
        <v>757104.5965234424</v>
      </c>
      <c r="L176" s="207">
        <v>93190.367632668</v>
      </c>
      <c r="M176" s="207">
        <v>0</v>
      </c>
      <c r="N176" s="207">
        <v>10619584.699755931</v>
      </c>
      <c r="O176" s="207">
        <v>3874695.9328785148</v>
      </c>
      <c r="P176" s="207">
        <v>14494280.632634446</v>
      </c>
      <c r="Q176" s="207">
        <v>190</v>
      </c>
      <c r="R176" s="207">
        <v>36</v>
      </c>
      <c r="S176" s="207">
        <v>206</v>
      </c>
      <c r="T176" s="207">
        <v>101</v>
      </c>
      <c r="U176" s="207">
        <v>103</v>
      </c>
      <c r="V176" s="207">
        <v>2348</v>
      </c>
      <c r="W176" s="207">
        <v>1026</v>
      </c>
      <c r="X176" s="207">
        <v>589</v>
      </c>
      <c r="Y176" s="207">
        <v>243</v>
      </c>
      <c r="Z176" s="207">
        <v>9</v>
      </c>
      <c r="AA176" s="207">
        <v>0</v>
      </c>
      <c r="AB176" s="207">
        <v>4730</v>
      </c>
      <c r="AC176" s="207">
        <v>103</v>
      </c>
      <c r="AD176" s="207">
        <v>1858</v>
      </c>
      <c r="AE176" s="481">
        <v>1.466146313978278</v>
      </c>
      <c r="AF176" s="207">
        <v>8387208.600349541</v>
      </c>
      <c r="AG176" s="207" t="e">
        <v>#DIV/0!</v>
      </c>
      <c r="AH176" s="207" t="e">
        <v>#DIV/0!</v>
      </c>
      <c r="AI176" s="207" t="e">
        <v>#DIV/0!</v>
      </c>
      <c r="AJ176" s="175">
        <v>217</v>
      </c>
      <c r="AK176" s="175">
        <v>2071</v>
      </c>
      <c r="AL176" s="175">
        <v>1.0739989921743551</v>
      </c>
      <c r="AM176" s="175">
        <v>103</v>
      </c>
      <c r="AN176" s="175">
        <v>0.021272201569599337</v>
      </c>
      <c r="AO176" s="175">
        <v>0.017991122459136342</v>
      </c>
      <c r="AP176" s="175">
        <v>0</v>
      </c>
      <c r="AQ176" s="175">
        <v>9</v>
      </c>
      <c r="AR176" s="175">
        <v>0</v>
      </c>
      <c r="AS176" s="175">
        <v>3</v>
      </c>
      <c r="AT176" s="175">
        <v>219</v>
      </c>
      <c r="AU176" s="175">
        <v>592.01</v>
      </c>
      <c r="AV176" s="175">
        <v>8.178915896690935</v>
      </c>
      <c r="AW176" s="175">
        <v>2.21918434792276</v>
      </c>
      <c r="AX176" s="175">
        <v>182</v>
      </c>
      <c r="AY176" s="175">
        <v>1193</v>
      </c>
      <c r="AZ176" s="175">
        <v>0.15255658005029338</v>
      </c>
      <c r="BA176" s="175">
        <v>0.09137274396605888</v>
      </c>
      <c r="BB176" s="175">
        <v>0.599749</v>
      </c>
      <c r="BC176" s="207">
        <v>1412</v>
      </c>
      <c r="BD176" s="175">
        <v>1734</v>
      </c>
      <c r="BE176" s="175">
        <v>0.8143021914648212</v>
      </c>
      <c r="BF176" s="175">
        <v>0.4053953088737281</v>
      </c>
      <c r="BG176" s="175">
        <v>0</v>
      </c>
      <c r="BH176" s="175">
        <v>0</v>
      </c>
      <c r="BI176" s="207">
        <v>0</v>
      </c>
      <c r="BJ176" s="207">
        <v>-1162.08</v>
      </c>
      <c r="BK176" s="207">
        <v>-19852.199999999997</v>
      </c>
      <c r="BL176" s="207">
        <v>-1355.7600000000002</v>
      </c>
      <c r="BM176" s="207">
        <v>0</v>
      </c>
      <c r="BN176" s="207">
        <v>0</v>
      </c>
      <c r="BO176" s="207">
        <v>404678</v>
      </c>
      <c r="BP176" s="207">
        <v>-166014.08637485027</v>
      </c>
      <c r="BQ176" s="207">
        <v>-206075.52000000002</v>
      </c>
      <c r="BR176" s="207">
        <v>111271.02164894715</v>
      </c>
      <c r="BS176" s="207">
        <v>548728</v>
      </c>
      <c r="BT176" s="207">
        <v>164426</v>
      </c>
      <c r="BU176" s="207">
        <v>449529.5316733578</v>
      </c>
      <c r="BV176" s="207">
        <v>24829.50885809744</v>
      </c>
      <c r="BW176" s="207">
        <v>64431.62000573984</v>
      </c>
      <c r="BX176" s="207">
        <v>213722.76312997163</v>
      </c>
      <c r="BY176" s="207">
        <v>280306.998898026</v>
      </c>
      <c r="BZ176" s="207">
        <v>469469.18040496006</v>
      </c>
      <c r="CA176" s="207">
        <v>137511.71819732754</v>
      </c>
      <c r="CB176" s="207">
        <v>231938.45242337234</v>
      </c>
      <c r="CC176" s="207">
        <v>435.78</v>
      </c>
      <c r="CD176" s="207">
        <v>23530.1719960954</v>
      </c>
      <c r="CE176" s="207">
        <v>786352.9940075183</v>
      </c>
      <c r="CF176" s="207">
        <v>93190.367632668</v>
      </c>
      <c r="CG176" s="207">
        <v>241644.44036247573</v>
      </c>
      <c r="CH176" s="207">
        <v>312203.08644839126</v>
      </c>
      <c r="CI176" s="207">
        <v>0</v>
      </c>
      <c r="CJ176" s="207">
        <v>3874695.9328785148</v>
      </c>
      <c r="CK176" s="207">
        <v>-506940</v>
      </c>
      <c r="CL176" s="207">
        <v>49082.4</v>
      </c>
      <c r="CM176" s="207">
        <v>64079.8</v>
      </c>
      <c r="CN176" s="207">
        <v>-14997.400000000001</v>
      </c>
      <c r="CO176" s="207">
        <v>13987340.632634446</v>
      </c>
      <c r="CP176" s="207">
        <v>15927912.487237435</v>
      </c>
      <c r="CQ176" s="207">
        <v>4969</v>
      </c>
    </row>
    <row r="177" spans="1:95" ht="11.25">
      <c r="A177" s="207">
        <v>581</v>
      </c>
      <c r="B177" s="207" t="s">
        <v>233</v>
      </c>
      <c r="C177" s="207">
        <v>6469</v>
      </c>
      <c r="D177" s="207">
        <v>23919316.31</v>
      </c>
      <c r="E177" s="207">
        <v>10106365.386220122</v>
      </c>
      <c r="F177" s="207">
        <v>1600211.0619610734</v>
      </c>
      <c r="G177" s="207">
        <v>35625892.7581812</v>
      </c>
      <c r="H177" s="207">
        <v>3664.46</v>
      </c>
      <c r="I177" s="207">
        <v>23705391.740000002</v>
      </c>
      <c r="J177" s="207">
        <v>11920501.018181197</v>
      </c>
      <c r="K177" s="207">
        <v>663253.7873024232</v>
      </c>
      <c r="L177" s="207">
        <v>-589430.1623813894</v>
      </c>
      <c r="M177" s="207">
        <v>0</v>
      </c>
      <c r="N177" s="207">
        <v>11994324.64310223</v>
      </c>
      <c r="O177" s="207">
        <v>4655618.302450342</v>
      </c>
      <c r="P177" s="207">
        <v>16649942.945552573</v>
      </c>
      <c r="Q177" s="207">
        <v>317</v>
      </c>
      <c r="R177" s="207">
        <v>41</v>
      </c>
      <c r="S177" s="207">
        <v>394</v>
      </c>
      <c r="T177" s="207">
        <v>213</v>
      </c>
      <c r="U177" s="207">
        <v>177</v>
      </c>
      <c r="V177" s="207">
        <v>3268</v>
      </c>
      <c r="W177" s="207">
        <v>1158</v>
      </c>
      <c r="X177" s="207">
        <v>644</v>
      </c>
      <c r="Y177" s="207">
        <v>257</v>
      </c>
      <c r="Z177" s="207">
        <v>7</v>
      </c>
      <c r="AA177" s="207">
        <v>0</v>
      </c>
      <c r="AB177" s="207">
        <v>6324</v>
      </c>
      <c r="AC177" s="207">
        <v>138</v>
      </c>
      <c r="AD177" s="207">
        <v>2059</v>
      </c>
      <c r="AE177" s="481">
        <v>1.3223380593634817</v>
      </c>
      <c r="AF177" s="207">
        <v>10106365.386220122</v>
      </c>
      <c r="AG177" s="207" t="e">
        <v>#DIV/0!</v>
      </c>
      <c r="AH177" s="207" t="e">
        <v>#DIV/0!</v>
      </c>
      <c r="AI177" s="207" t="e">
        <v>#DIV/0!</v>
      </c>
      <c r="AJ177" s="175">
        <v>215</v>
      </c>
      <c r="AK177" s="175">
        <v>2746</v>
      </c>
      <c r="AL177" s="175">
        <v>0.8025316442693591</v>
      </c>
      <c r="AM177" s="175">
        <v>138</v>
      </c>
      <c r="AN177" s="175">
        <v>0.02133250888854537</v>
      </c>
      <c r="AO177" s="175">
        <v>0.018051429778082374</v>
      </c>
      <c r="AP177" s="175">
        <v>0</v>
      </c>
      <c r="AQ177" s="175">
        <v>7</v>
      </c>
      <c r="AR177" s="175">
        <v>0</v>
      </c>
      <c r="AS177" s="175">
        <v>0</v>
      </c>
      <c r="AT177" s="175">
        <v>0</v>
      </c>
      <c r="AU177" s="175">
        <v>852.93</v>
      </c>
      <c r="AV177" s="175">
        <v>7.584444209958614</v>
      </c>
      <c r="AW177" s="175">
        <v>2.3931248801436187</v>
      </c>
      <c r="AX177" s="175">
        <v>283</v>
      </c>
      <c r="AY177" s="175">
        <v>1718</v>
      </c>
      <c r="AZ177" s="175">
        <v>0.16472642607683352</v>
      </c>
      <c r="BA177" s="175">
        <v>0.10354258999259902</v>
      </c>
      <c r="BB177" s="175">
        <v>0.290266</v>
      </c>
      <c r="BC177" s="207">
        <v>2379</v>
      </c>
      <c r="BD177" s="175">
        <v>2346</v>
      </c>
      <c r="BE177" s="175">
        <v>1.014066496163683</v>
      </c>
      <c r="BF177" s="175">
        <v>0.6051596135725898</v>
      </c>
      <c r="BG177" s="175">
        <v>0</v>
      </c>
      <c r="BH177" s="175">
        <v>0</v>
      </c>
      <c r="BI177" s="207">
        <v>0</v>
      </c>
      <c r="BJ177" s="207">
        <v>-1552.56</v>
      </c>
      <c r="BK177" s="207">
        <v>-26522.899999999998</v>
      </c>
      <c r="BL177" s="207">
        <v>-1811.3200000000002</v>
      </c>
      <c r="BM177" s="207">
        <v>0</v>
      </c>
      <c r="BN177" s="207">
        <v>0</v>
      </c>
      <c r="BO177" s="207">
        <v>77466</v>
      </c>
      <c r="BP177" s="207">
        <v>-205794.49325108543</v>
      </c>
      <c r="BQ177" s="207">
        <v>-275320.64</v>
      </c>
      <c r="BR177" s="207">
        <v>-46909.599780224264</v>
      </c>
      <c r="BS177" s="207">
        <v>631294</v>
      </c>
      <c r="BT177" s="207">
        <v>193783</v>
      </c>
      <c r="BU177" s="207">
        <v>483072.9142818386</v>
      </c>
      <c r="BV177" s="207">
        <v>24805.22083597808</v>
      </c>
      <c r="BW177" s="207">
        <v>35617.50781714254</v>
      </c>
      <c r="BX177" s="207">
        <v>244726.99378497124</v>
      </c>
      <c r="BY177" s="207">
        <v>364807.035582009</v>
      </c>
      <c r="BZ177" s="207">
        <v>582032.8616976138</v>
      </c>
      <c r="CA177" s="207">
        <v>169726.33743962029</v>
      </c>
      <c r="CB177" s="207">
        <v>309542.4813555387</v>
      </c>
      <c r="CC177" s="207">
        <v>582.2099999999999</v>
      </c>
      <c r="CD177" s="207">
        <v>-29802.368370231685</v>
      </c>
      <c r="CE177" s="207">
        <v>320644.360869696</v>
      </c>
      <c r="CF177" s="207">
        <v>-589430.1623813894</v>
      </c>
      <c r="CG177" s="207">
        <v>312903.80902015197</v>
      </c>
      <c r="CH177" s="207">
        <v>427994.5847128715</v>
      </c>
      <c r="CI177" s="207">
        <v>0</v>
      </c>
      <c r="CJ177" s="207">
        <v>4655618.302450342</v>
      </c>
      <c r="CK177" s="207">
        <v>-647274</v>
      </c>
      <c r="CL177" s="207">
        <v>189580.77000000002</v>
      </c>
      <c r="CM177" s="207">
        <v>74332.568</v>
      </c>
      <c r="CN177" s="207">
        <v>115248.20200000002</v>
      </c>
      <c r="CO177" s="207">
        <v>16002668.945552573</v>
      </c>
      <c r="CP177" s="207">
        <v>18141160.859725937</v>
      </c>
      <c r="CQ177" s="207">
        <v>6562</v>
      </c>
    </row>
    <row r="178" spans="1:95" ht="11.25">
      <c r="A178" s="207">
        <v>599</v>
      </c>
      <c r="B178" s="207" t="s">
        <v>234</v>
      </c>
      <c r="C178" s="207">
        <v>11016</v>
      </c>
      <c r="D178" s="207">
        <v>43608233.08</v>
      </c>
      <c r="E178" s="207">
        <v>8829653.789822856</v>
      </c>
      <c r="F178" s="207">
        <v>4399859.063712205</v>
      </c>
      <c r="G178" s="207">
        <v>56837745.933535054</v>
      </c>
      <c r="H178" s="207">
        <v>3664.46</v>
      </c>
      <c r="I178" s="207">
        <v>40367691.36</v>
      </c>
      <c r="J178" s="207">
        <v>16470054.573535055</v>
      </c>
      <c r="K178" s="207">
        <v>302280.2489786518</v>
      </c>
      <c r="L178" s="207">
        <v>-780967.816416296</v>
      </c>
      <c r="M178" s="207">
        <v>0</v>
      </c>
      <c r="N178" s="207">
        <v>15991367.006097412</v>
      </c>
      <c r="O178" s="207">
        <v>8083658.526161721</v>
      </c>
      <c r="P178" s="207">
        <v>24075025.532259133</v>
      </c>
      <c r="Q178" s="207">
        <v>956</v>
      </c>
      <c r="R178" s="207">
        <v>187</v>
      </c>
      <c r="S178" s="207">
        <v>1117</v>
      </c>
      <c r="T178" s="207">
        <v>518</v>
      </c>
      <c r="U178" s="207">
        <v>490</v>
      </c>
      <c r="V178" s="207">
        <v>5770</v>
      </c>
      <c r="W178" s="207">
        <v>1147</v>
      </c>
      <c r="X178" s="207">
        <v>574</v>
      </c>
      <c r="Y178" s="207">
        <v>257</v>
      </c>
      <c r="Z178" s="207">
        <v>9801</v>
      </c>
      <c r="AA178" s="207">
        <v>0</v>
      </c>
      <c r="AB178" s="207">
        <v>935</v>
      </c>
      <c r="AC178" s="207">
        <v>280</v>
      </c>
      <c r="AD178" s="207">
        <v>1978</v>
      </c>
      <c r="AE178" s="481">
        <v>0.6784289960199363</v>
      </c>
      <c r="AF178" s="207">
        <v>8829653.789822856</v>
      </c>
      <c r="AG178" s="207" t="e">
        <v>#DIV/0!</v>
      </c>
      <c r="AH178" s="207" t="e">
        <v>#DIV/0!</v>
      </c>
      <c r="AI178" s="207" t="e">
        <v>#DIV/0!</v>
      </c>
      <c r="AJ178" s="175">
        <v>150</v>
      </c>
      <c r="AK178" s="175">
        <v>5261</v>
      </c>
      <c r="AL178" s="175">
        <v>0.29224507169876535</v>
      </c>
      <c r="AM178" s="175">
        <v>280</v>
      </c>
      <c r="AN178" s="175">
        <v>0.025417574437182282</v>
      </c>
      <c r="AO178" s="175">
        <v>0.022136495326719286</v>
      </c>
      <c r="AP178" s="175">
        <v>3</v>
      </c>
      <c r="AQ178" s="175">
        <v>9801</v>
      </c>
      <c r="AR178" s="175">
        <v>0</v>
      </c>
      <c r="AS178" s="175">
        <v>0</v>
      </c>
      <c r="AT178" s="175">
        <v>0</v>
      </c>
      <c r="AU178" s="175">
        <v>794.26</v>
      </c>
      <c r="AV178" s="175">
        <v>13.869513761236874</v>
      </c>
      <c r="AW178" s="175">
        <v>1.308663191325499</v>
      </c>
      <c r="AX178" s="175">
        <v>361</v>
      </c>
      <c r="AY178" s="175">
        <v>3118</v>
      </c>
      <c r="AZ178" s="175">
        <v>0.11577934573444516</v>
      </c>
      <c r="BA178" s="175">
        <v>0.05459550965021067</v>
      </c>
      <c r="BB178" s="175">
        <v>0</v>
      </c>
      <c r="BC178" s="207">
        <v>4125</v>
      </c>
      <c r="BD178" s="175">
        <v>4989</v>
      </c>
      <c r="BE178" s="175">
        <v>0.8268190018039687</v>
      </c>
      <c r="BF178" s="175">
        <v>0.41791211921287563</v>
      </c>
      <c r="BG178" s="175">
        <v>0</v>
      </c>
      <c r="BH178" s="175">
        <v>0</v>
      </c>
      <c r="BI178" s="207">
        <v>0</v>
      </c>
      <c r="BJ178" s="207">
        <v>-2643.8399999999997</v>
      </c>
      <c r="BK178" s="207">
        <v>-45165.6</v>
      </c>
      <c r="BL178" s="207">
        <v>-3084.4800000000005</v>
      </c>
      <c r="BM178" s="207">
        <v>0</v>
      </c>
      <c r="BN178" s="207">
        <v>0</v>
      </c>
      <c r="BO178" s="207">
        <v>-119051</v>
      </c>
      <c r="BP178" s="207">
        <v>-79085.64695376917</v>
      </c>
      <c r="BQ178" s="207">
        <v>-468840.96</v>
      </c>
      <c r="BR178" s="207">
        <v>228177.65468864888</v>
      </c>
      <c r="BS178" s="207">
        <v>874829</v>
      </c>
      <c r="BT178" s="207">
        <v>310573</v>
      </c>
      <c r="BU178" s="207">
        <v>740032.4773345407</v>
      </c>
      <c r="BV178" s="207">
        <v>30702.727293643246</v>
      </c>
      <c r="BW178" s="207">
        <v>54599.82824247546</v>
      </c>
      <c r="BX178" s="207">
        <v>334874.17945873406</v>
      </c>
      <c r="BY178" s="207">
        <v>661355.4490996372</v>
      </c>
      <c r="BZ178" s="207">
        <v>938522.8049510869</v>
      </c>
      <c r="CA178" s="207">
        <v>296535.45275230636</v>
      </c>
      <c r="CB178" s="207">
        <v>510150.01185758994</v>
      </c>
      <c r="CC178" s="207">
        <v>991.4399999999999</v>
      </c>
      <c r="CD178" s="207">
        <v>-122802.64804682478</v>
      </c>
      <c r="CE178" s="207">
        <v>497429.7505374732</v>
      </c>
      <c r="CF178" s="207">
        <v>-780967.816416296</v>
      </c>
      <c r="CG178" s="207">
        <v>499208.4638956492</v>
      </c>
      <c r="CH178" s="207">
        <v>766937.3057917394</v>
      </c>
      <c r="CI178" s="207">
        <v>0</v>
      </c>
      <c r="CJ178" s="207">
        <v>8083658.526161721</v>
      </c>
      <c r="CK178" s="207">
        <v>-601791</v>
      </c>
      <c r="CL178" s="207">
        <v>146020.14</v>
      </c>
      <c r="CM178" s="207">
        <v>454789.33800000005</v>
      </c>
      <c r="CN178" s="207">
        <v>-308769.19800000003</v>
      </c>
      <c r="CO178" s="207">
        <v>23473234.532259133</v>
      </c>
      <c r="CP178" s="207">
        <v>26109157.1020464</v>
      </c>
      <c r="CQ178" s="207">
        <v>11084</v>
      </c>
    </row>
    <row r="179" spans="1:95" ht="11.25">
      <c r="A179" s="207">
        <v>583</v>
      </c>
      <c r="B179" s="207" t="s">
        <v>235</v>
      </c>
      <c r="C179" s="207">
        <v>954</v>
      </c>
      <c r="D179" s="207">
        <v>3085825.76</v>
      </c>
      <c r="E179" s="207">
        <v>1488055.673592338</v>
      </c>
      <c r="F179" s="207">
        <v>953466.9414412151</v>
      </c>
      <c r="G179" s="207">
        <v>5527348.375033554</v>
      </c>
      <c r="H179" s="207">
        <v>3664.46</v>
      </c>
      <c r="I179" s="207">
        <v>3495894.84</v>
      </c>
      <c r="J179" s="207">
        <v>2031453.5350335538</v>
      </c>
      <c r="K179" s="207">
        <v>1090146.474991187</v>
      </c>
      <c r="L179" s="207">
        <v>365651.714339507</v>
      </c>
      <c r="M179" s="207">
        <v>0</v>
      </c>
      <c r="N179" s="207">
        <v>3487251.7243642476</v>
      </c>
      <c r="O179" s="207">
        <v>606546.6815193223</v>
      </c>
      <c r="P179" s="207">
        <v>4093798.40588357</v>
      </c>
      <c r="Q179" s="207">
        <v>39</v>
      </c>
      <c r="R179" s="207">
        <v>5</v>
      </c>
      <c r="S179" s="207">
        <v>35</v>
      </c>
      <c r="T179" s="207">
        <v>14</v>
      </c>
      <c r="U179" s="207">
        <v>12</v>
      </c>
      <c r="V179" s="207">
        <v>515</v>
      </c>
      <c r="W179" s="207">
        <v>194</v>
      </c>
      <c r="X179" s="207">
        <v>104</v>
      </c>
      <c r="Y179" s="207">
        <v>36</v>
      </c>
      <c r="Z179" s="207">
        <v>2</v>
      </c>
      <c r="AA179" s="207">
        <v>0</v>
      </c>
      <c r="AB179" s="207">
        <v>944</v>
      </c>
      <c r="AC179" s="207">
        <v>8</v>
      </c>
      <c r="AD179" s="207">
        <v>334</v>
      </c>
      <c r="AE179" s="481">
        <v>1.3202478189819318</v>
      </c>
      <c r="AF179" s="207">
        <v>1488055.673592338</v>
      </c>
      <c r="AG179" s="207" t="e">
        <v>#DIV/0!</v>
      </c>
      <c r="AH179" s="207" t="e">
        <v>#DIV/0!</v>
      </c>
      <c r="AI179" s="207" t="e">
        <v>#DIV/0!</v>
      </c>
      <c r="AJ179" s="175">
        <v>69</v>
      </c>
      <c r="AK179" s="175">
        <v>409</v>
      </c>
      <c r="AL179" s="175">
        <v>1.7292190909909881</v>
      </c>
      <c r="AM179" s="175">
        <v>8</v>
      </c>
      <c r="AN179" s="175">
        <v>0.008385744234800839</v>
      </c>
      <c r="AO179" s="175">
        <v>0.0051046651243378425</v>
      </c>
      <c r="AP179" s="175">
        <v>0</v>
      </c>
      <c r="AQ179" s="175">
        <v>2</v>
      </c>
      <c r="AR179" s="175">
        <v>0</v>
      </c>
      <c r="AS179" s="175">
        <v>0</v>
      </c>
      <c r="AT179" s="175">
        <v>0</v>
      </c>
      <c r="AU179" s="175">
        <v>1836.14</v>
      </c>
      <c r="AV179" s="175">
        <v>0.5195682246451795</v>
      </c>
      <c r="AW179" s="175">
        <v>34.93385715284729</v>
      </c>
      <c r="AX179" s="175">
        <v>32</v>
      </c>
      <c r="AY179" s="175">
        <v>234</v>
      </c>
      <c r="AZ179" s="175">
        <v>0.13675213675213677</v>
      </c>
      <c r="BA179" s="175">
        <v>0.07556830066790227</v>
      </c>
      <c r="BB179" s="175">
        <v>1.689066</v>
      </c>
      <c r="BC179" s="207">
        <v>371</v>
      </c>
      <c r="BD179" s="175">
        <v>332</v>
      </c>
      <c r="BE179" s="175">
        <v>1.1174698795180722</v>
      </c>
      <c r="BF179" s="175">
        <v>0.7085629969269791</v>
      </c>
      <c r="BG179" s="175">
        <v>0</v>
      </c>
      <c r="BH179" s="175">
        <v>0</v>
      </c>
      <c r="BI179" s="207">
        <v>0</v>
      </c>
      <c r="BJ179" s="207">
        <v>-228.95999999999998</v>
      </c>
      <c r="BK179" s="207">
        <v>-3911.3999999999996</v>
      </c>
      <c r="BL179" s="207">
        <v>-267.12</v>
      </c>
      <c r="BM179" s="207">
        <v>0</v>
      </c>
      <c r="BN179" s="207">
        <v>0</v>
      </c>
      <c r="BO179" s="207">
        <v>86897</v>
      </c>
      <c r="BP179" s="207">
        <v>-5165.432565668707</v>
      </c>
      <c r="BQ179" s="207">
        <v>-40602.240000000005</v>
      </c>
      <c r="BR179" s="207">
        <v>326846.61793812085</v>
      </c>
      <c r="BS179" s="207">
        <v>98737</v>
      </c>
      <c r="BT179" s="207">
        <v>30421</v>
      </c>
      <c r="BU179" s="207">
        <v>86707.59390611005</v>
      </c>
      <c r="BV179" s="207">
        <v>4883.322780735451</v>
      </c>
      <c r="BW179" s="207">
        <v>12434.331455737256</v>
      </c>
      <c r="BX179" s="207">
        <v>32710.82356139678</v>
      </c>
      <c r="BY179" s="207">
        <v>49945.52380611127</v>
      </c>
      <c r="BZ179" s="207">
        <v>84755.74699200691</v>
      </c>
      <c r="CA179" s="207">
        <v>26259.991914495644</v>
      </c>
      <c r="CB179" s="207">
        <v>48698.913694582</v>
      </c>
      <c r="CC179" s="207">
        <v>85.86</v>
      </c>
      <c r="CD179" s="207">
        <v>11358.24104721152</v>
      </c>
      <c r="CE179" s="207">
        <v>474679.1269051757</v>
      </c>
      <c r="CF179" s="207">
        <v>365651.714339507</v>
      </c>
      <c r="CG179" s="207">
        <v>48546.947919843326</v>
      </c>
      <c r="CH179" s="207">
        <v>62812.371266222435</v>
      </c>
      <c r="CI179" s="207">
        <v>0</v>
      </c>
      <c r="CJ179" s="207">
        <v>606546.6815193223</v>
      </c>
      <c r="CK179" s="207">
        <v>-226034</v>
      </c>
      <c r="CL179" s="207">
        <v>98301.14</v>
      </c>
      <c r="CM179" s="207">
        <v>0</v>
      </c>
      <c r="CN179" s="207">
        <v>98301.14</v>
      </c>
      <c r="CO179" s="207">
        <v>3867764.40588357</v>
      </c>
      <c r="CP179" s="207">
        <v>4138527.263624357</v>
      </c>
      <c r="CQ179" s="207">
        <v>958</v>
      </c>
    </row>
    <row r="180" spans="1:95" ht="11.25">
      <c r="A180" s="207">
        <v>854</v>
      </c>
      <c r="B180" s="207" t="s">
        <v>236</v>
      </c>
      <c r="C180" s="207">
        <v>3438</v>
      </c>
      <c r="D180" s="207">
        <v>12845480.83</v>
      </c>
      <c r="E180" s="207">
        <v>6150970.66651068</v>
      </c>
      <c r="F180" s="207">
        <v>1877426.942482314</v>
      </c>
      <c r="G180" s="207">
        <v>20873878.438992996</v>
      </c>
      <c r="H180" s="207">
        <v>3664.46</v>
      </c>
      <c r="I180" s="207">
        <v>12598413.48</v>
      </c>
      <c r="J180" s="207">
        <v>8275464.958992995</v>
      </c>
      <c r="K180" s="207">
        <v>3847341.5553821614</v>
      </c>
      <c r="L180" s="207">
        <v>-463824.18563185516</v>
      </c>
      <c r="M180" s="207">
        <v>0</v>
      </c>
      <c r="N180" s="207">
        <v>11658982.328743303</v>
      </c>
      <c r="O180" s="207">
        <v>2732955.650864601</v>
      </c>
      <c r="P180" s="207">
        <v>14391937.979607904</v>
      </c>
      <c r="Q180" s="207">
        <v>116</v>
      </c>
      <c r="R180" s="207">
        <v>21</v>
      </c>
      <c r="S180" s="207">
        <v>117</v>
      </c>
      <c r="T180" s="207">
        <v>94</v>
      </c>
      <c r="U180" s="207">
        <v>78</v>
      </c>
      <c r="V180" s="207">
        <v>1675</v>
      </c>
      <c r="W180" s="207">
        <v>714</v>
      </c>
      <c r="X180" s="207">
        <v>439</v>
      </c>
      <c r="Y180" s="207">
        <v>184</v>
      </c>
      <c r="Z180" s="207">
        <v>20</v>
      </c>
      <c r="AA180" s="207">
        <v>1</v>
      </c>
      <c r="AB180" s="207">
        <v>3380</v>
      </c>
      <c r="AC180" s="207">
        <v>37</v>
      </c>
      <c r="AD180" s="207">
        <v>1337</v>
      </c>
      <c r="AE180" s="481">
        <v>1.5143366627259947</v>
      </c>
      <c r="AF180" s="207">
        <v>6150970.66651068</v>
      </c>
      <c r="AG180" s="207" t="e">
        <v>#DIV/0!</v>
      </c>
      <c r="AH180" s="207" t="e">
        <v>#DIV/0!</v>
      </c>
      <c r="AI180" s="207" t="e">
        <v>#DIV/0!</v>
      </c>
      <c r="AJ180" s="175">
        <v>181</v>
      </c>
      <c r="AK180" s="175">
        <v>1411</v>
      </c>
      <c r="AL180" s="175">
        <v>1.314848756529667</v>
      </c>
      <c r="AM180" s="175">
        <v>37</v>
      </c>
      <c r="AN180" s="175">
        <v>0.010762070971495055</v>
      </c>
      <c r="AO180" s="175">
        <v>0.007480991861032058</v>
      </c>
      <c r="AP180" s="175">
        <v>0</v>
      </c>
      <c r="AQ180" s="175">
        <v>20</v>
      </c>
      <c r="AR180" s="175">
        <v>1</v>
      </c>
      <c r="AS180" s="175">
        <v>0</v>
      </c>
      <c r="AT180" s="175">
        <v>0</v>
      </c>
      <c r="AU180" s="175">
        <v>1738.64</v>
      </c>
      <c r="AV180" s="175">
        <v>1.9774076289513642</v>
      </c>
      <c r="AW180" s="175">
        <v>9.178948171924747</v>
      </c>
      <c r="AX180" s="175">
        <v>127</v>
      </c>
      <c r="AY180" s="175">
        <v>756</v>
      </c>
      <c r="AZ180" s="175">
        <v>0.167989417989418</v>
      </c>
      <c r="BA180" s="175">
        <v>0.1068055819051835</v>
      </c>
      <c r="BB180" s="175">
        <v>1.665032</v>
      </c>
      <c r="BC180" s="207">
        <v>1165</v>
      </c>
      <c r="BD180" s="175">
        <v>1171</v>
      </c>
      <c r="BE180" s="175">
        <v>0.9948761742100769</v>
      </c>
      <c r="BF180" s="175">
        <v>0.5859692916189838</v>
      </c>
      <c r="BG180" s="175">
        <v>0</v>
      </c>
      <c r="BH180" s="175">
        <v>1</v>
      </c>
      <c r="BI180" s="207">
        <v>0</v>
      </c>
      <c r="BJ180" s="207">
        <v>-825.12</v>
      </c>
      <c r="BK180" s="207">
        <v>-14095.8</v>
      </c>
      <c r="BL180" s="207">
        <v>-962.6400000000001</v>
      </c>
      <c r="BM180" s="207">
        <v>0</v>
      </c>
      <c r="BN180" s="207">
        <v>0</v>
      </c>
      <c r="BO180" s="207">
        <v>-10827</v>
      </c>
      <c r="BP180" s="207">
        <v>-49805.67374538805</v>
      </c>
      <c r="BQ180" s="207">
        <v>-146321.28</v>
      </c>
      <c r="BR180" s="207">
        <v>-196013.11219165102</v>
      </c>
      <c r="BS180" s="207">
        <v>360045</v>
      </c>
      <c r="BT180" s="207">
        <v>112878</v>
      </c>
      <c r="BU180" s="207">
        <v>279775.4705817744</v>
      </c>
      <c r="BV180" s="207">
        <v>17209.577726508884</v>
      </c>
      <c r="BW180" s="207">
        <v>62791.6321954701</v>
      </c>
      <c r="BX180" s="207">
        <v>135895.88612350414</v>
      </c>
      <c r="BY180" s="207">
        <v>186088.03826940406</v>
      </c>
      <c r="BZ180" s="207">
        <v>316311.9860555602</v>
      </c>
      <c r="CA180" s="207">
        <v>91667.29733957456</v>
      </c>
      <c r="CB180" s="207">
        <v>167685.64765483327</v>
      </c>
      <c r="CC180" s="207">
        <v>309.42</v>
      </c>
      <c r="CD180" s="207">
        <v>-19932.58734913855</v>
      </c>
      <c r="CE180" s="207">
        <v>-39723.4518864671</v>
      </c>
      <c r="CF180" s="207">
        <v>-463824.18563185516</v>
      </c>
      <c r="CG180" s="207">
        <v>183336.20765432247</v>
      </c>
      <c r="CH180" s="207">
        <v>217281.6328583562</v>
      </c>
      <c r="CI180" s="207">
        <v>0</v>
      </c>
      <c r="CJ180" s="207">
        <v>2732955.650864601</v>
      </c>
      <c r="CK180" s="207">
        <v>-259709</v>
      </c>
      <c r="CL180" s="207">
        <v>10907.2</v>
      </c>
      <c r="CM180" s="207">
        <v>53949.738</v>
      </c>
      <c r="CN180" s="207">
        <v>-43042.538</v>
      </c>
      <c r="CO180" s="207">
        <v>14132228.979607904</v>
      </c>
      <c r="CP180" s="207">
        <v>14888847.28110836</v>
      </c>
      <c r="CQ180" s="207">
        <v>3510</v>
      </c>
    </row>
    <row r="181" spans="1:95" ht="11.25">
      <c r="A181" s="207">
        <v>584</v>
      </c>
      <c r="B181" s="207" t="s">
        <v>237</v>
      </c>
      <c r="C181" s="207">
        <v>2825</v>
      </c>
      <c r="D181" s="207">
        <v>12241186.62</v>
      </c>
      <c r="E181" s="207">
        <v>3492162.652458733</v>
      </c>
      <c r="F181" s="207">
        <v>959043.381030974</v>
      </c>
      <c r="G181" s="207">
        <v>16692392.653489705</v>
      </c>
      <c r="H181" s="207">
        <v>3664.46</v>
      </c>
      <c r="I181" s="207">
        <v>10352099.5</v>
      </c>
      <c r="J181" s="207">
        <v>6340293.153489705</v>
      </c>
      <c r="K181" s="207">
        <v>712951.6343804359</v>
      </c>
      <c r="L181" s="207">
        <v>-89900.13769308344</v>
      </c>
      <c r="M181" s="207">
        <v>0</v>
      </c>
      <c r="N181" s="207">
        <v>6963344.650177057</v>
      </c>
      <c r="O181" s="207">
        <v>3550702.7671396076</v>
      </c>
      <c r="P181" s="207">
        <v>10514047.417316664</v>
      </c>
      <c r="Q181" s="207">
        <v>272</v>
      </c>
      <c r="R181" s="207">
        <v>47</v>
      </c>
      <c r="S181" s="207">
        <v>314</v>
      </c>
      <c r="T181" s="207">
        <v>147</v>
      </c>
      <c r="U181" s="207">
        <v>124</v>
      </c>
      <c r="V181" s="207">
        <v>1268</v>
      </c>
      <c r="W181" s="207">
        <v>387</v>
      </c>
      <c r="X181" s="207">
        <v>187</v>
      </c>
      <c r="Y181" s="207">
        <v>79</v>
      </c>
      <c r="Z181" s="207">
        <v>11</v>
      </c>
      <c r="AA181" s="207">
        <v>0</v>
      </c>
      <c r="AB181" s="207">
        <v>2787</v>
      </c>
      <c r="AC181" s="207">
        <v>27</v>
      </c>
      <c r="AD181" s="207">
        <v>653</v>
      </c>
      <c r="AE181" s="481">
        <v>1.0463106951473633</v>
      </c>
      <c r="AF181" s="207">
        <v>3492162.652458733</v>
      </c>
      <c r="AG181" s="207" t="e">
        <v>#DIV/0!</v>
      </c>
      <c r="AH181" s="207" t="e">
        <v>#DIV/0!</v>
      </c>
      <c r="AI181" s="207" t="e">
        <v>#DIV/0!</v>
      </c>
      <c r="AJ181" s="175">
        <v>90</v>
      </c>
      <c r="AK181" s="175">
        <v>1080</v>
      </c>
      <c r="AL181" s="175">
        <v>0.8541674012262247</v>
      </c>
      <c r="AM181" s="175">
        <v>27</v>
      </c>
      <c r="AN181" s="175">
        <v>0.009557522123893806</v>
      </c>
      <c r="AO181" s="175">
        <v>0.006276443013430809</v>
      </c>
      <c r="AP181" s="175">
        <v>0</v>
      </c>
      <c r="AQ181" s="175">
        <v>11</v>
      </c>
      <c r="AR181" s="175">
        <v>0</v>
      </c>
      <c r="AS181" s="175">
        <v>0</v>
      </c>
      <c r="AT181" s="175">
        <v>0</v>
      </c>
      <c r="AU181" s="175">
        <v>747.87</v>
      </c>
      <c r="AV181" s="175">
        <v>3.7773944669528126</v>
      </c>
      <c r="AW181" s="175">
        <v>4.805037519831764</v>
      </c>
      <c r="AX181" s="175">
        <v>133</v>
      </c>
      <c r="AY181" s="175">
        <v>665</v>
      </c>
      <c r="AZ181" s="175">
        <v>0.2</v>
      </c>
      <c r="BA181" s="175">
        <v>0.1388161639157655</v>
      </c>
      <c r="BB181" s="175">
        <v>0.997766</v>
      </c>
      <c r="BC181" s="207">
        <v>915</v>
      </c>
      <c r="BD181" s="175">
        <v>948</v>
      </c>
      <c r="BE181" s="175">
        <v>0.9651898734177216</v>
      </c>
      <c r="BF181" s="175">
        <v>0.5562829908266285</v>
      </c>
      <c r="BG181" s="175">
        <v>0</v>
      </c>
      <c r="BH181" s="175">
        <v>0</v>
      </c>
      <c r="BI181" s="207">
        <v>0</v>
      </c>
      <c r="BJ181" s="207">
        <v>-678</v>
      </c>
      <c r="BK181" s="207">
        <v>-11582.499999999998</v>
      </c>
      <c r="BL181" s="207">
        <v>-791.0000000000001</v>
      </c>
      <c r="BM181" s="207">
        <v>0</v>
      </c>
      <c r="BN181" s="207">
        <v>0</v>
      </c>
      <c r="BO181" s="207">
        <v>25831</v>
      </c>
      <c r="BP181" s="207">
        <v>1560.4269887401751</v>
      </c>
      <c r="BQ181" s="207">
        <v>-120232</v>
      </c>
      <c r="BR181" s="207">
        <v>40403.31963919662</v>
      </c>
      <c r="BS181" s="207">
        <v>248802</v>
      </c>
      <c r="BT181" s="207">
        <v>81810</v>
      </c>
      <c r="BU181" s="207">
        <v>237809.04534196263</v>
      </c>
      <c r="BV181" s="207">
        <v>12373.570511656304</v>
      </c>
      <c r="BW181" s="207">
        <v>37925.0929076098</v>
      </c>
      <c r="BX181" s="207">
        <v>123013.57808496512</v>
      </c>
      <c r="BY181" s="207">
        <v>153607.53770423934</v>
      </c>
      <c r="BZ181" s="207">
        <v>243407.94374177346</v>
      </c>
      <c r="CA181" s="207">
        <v>65115.4129479533</v>
      </c>
      <c r="CB181" s="207">
        <v>128168.1286582417</v>
      </c>
      <c r="CC181" s="207">
        <v>254.25</v>
      </c>
      <c r="CD181" s="207">
        <v>201.8346436877764</v>
      </c>
      <c r="CE181" s="207">
        <v>216097.1853181764</v>
      </c>
      <c r="CF181" s="207">
        <v>-89900.13769308344</v>
      </c>
      <c r="CG181" s="207">
        <v>146610.031035292</v>
      </c>
      <c r="CH181" s="207">
        <v>192901.15560473586</v>
      </c>
      <c r="CI181" s="207">
        <v>0</v>
      </c>
      <c r="CJ181" s="207">
        <v>3550702.7671396076</v>
      </c>
      <c r="CK181" s="207">
        <v>125971</v>
      </c>
      <c r="CL181" s="207">
        <v>20451</v>
      </c>
      <c r="CM181" s="207">
        <v>6817</v>
      </c>
      <c r="CN181" s="207">
        <v>13634</v>
      </c>
      <c r="CO181" s="207">
        <v>10640018.417316664</v>
      </c>
      <c r="CP181" s="207">
        <v>11298122.342267307</v>
      </c>
      <c r="CQ181" s="207">
        <v>2860</v>
      </c>
    </row>
    <row r="182" spans="1:95" ht="11.25">
      <c r="A182" s="207">
        <v>588</v>
      </c>
      <c r="B182" s="207" t="s">
        <v>238</v>
      </c>
      <c r="C182" s="207">
        <v>1713</v>
      </c>
      <c r="D182" s="207">
        <v>6476325.050000001</v>
      </c>
      <c r="E182" s="207">
        <v>2728522.5893316767</v>
      </c>
      <c r="F182" s="207">
        <v>577651.5474711097</v>
      </c>
      <c r="G182" s="207">
        <v>9782499.186802788</v>
      </c>
      <c r="H182" s="207">
        <v>3664.46</v>
      </c>
      <c r="I182" s="207">
        <v>6277219.98</v>
      </c>
      <c r="J182" s="207">
        <v>3505279.2068027873</v>
      </c>
      <c r="K182" s="207">
        <v>171941.89950933194</v>
      </c>
      <c r="L182" s="207">
        <v>-121218.30689371933</v>
      </c>
      <c r="M182" s="207">
        <v>0</v>
      </c>
      <c r="N182" s="207">
        <v>3556002.7994184</v>
      </c>
      <c r="O182" s="207">
        <v>1578702.309283399</v>
      </c>
      <c r="P182" s="207">
        <v>5134705.108701799</v>
      </c>
      <c r="Q182" s="207">
        <v>52</v>
      </c>
      <c r="R182" s="207">
        <v>9</v>
      </c>
      <c r="S182" s="207">
        <v>93</v>
      </c>
      <c r="T182" s="207">
        <v>58</v>
      </c>
      <c r="U182" s="207">
        <v>39</v>
      </c>
      <c r="V182" s="207">
        <v>849</v>
      </c>
      <c r="W182" s="207">
        <v>330</v>
      </c>
      <c r="X182" s="207">
        <v>197</v>
      </c>
      <c r="Y182" s="207">
        <v>86</v>
      </c>
      <c r="Z182" s="207">
        <v>2</v>
      </c>
      <c r="AA182" s="207">
        <v>0</v>
      </c>
      <c r="AB182" s="207">
        <v>1675</v>
      </c>
      <c r="AC182" s="207">
        <v>36</v>
      </c>
      <c r="AD182" s="207">
        <v>613</v>
      </c>
      <c r="AE182" s="481">
        <v>1.34820161810608</v>
      </c>
      <c r="AF182" s="207">
        <v>2728522.5893316767</v>
      </c>
      <c r="AG182" s="207" t="e">
        <v>#DIV/0!</v>
      </c>
      <c r="AH182" s="207" t="e">
        <v>#DIV/0!</v>
      </c>
      <c r="AI182" s="207" t="e">
        <v>#DIV/0!</v>
      </c>
      <c r="AJ182" s="175">
        <v>68</v>
      </c>
      <c r="AK182" s="175">
        <v>717</v>
      </c>
      <c r="AL182" s="175">
        <v>0.9721068331946993</v>
      </c>
      <c r="AM182" s="175">
        <v>36</v>
      </c>
      <c r="AN182" s="175">
        <v>0.021015761821366025</v>
      </c>
      <c r="AO182" s="175">
        <v>0.01773468271090303</v>
      </c>
      <c r="AP182" s="175">
        <v>0</v>
      </c>
      <c r="AQ182" s="175">
        <v>2</v>
      </c>
      <c r="AR182" s="175">
        <v>0</v>
      </c>
      <c r="AS182" s="175">
        <v>0</v>
      </c>
      <c r="AT182" s="175">
        <v>0</v>
      </c>
      <c r="AU182" s="175">
        <v>374.44</v>
      </c>
      <c r="AV182" s="175">
        <v>4.574831748744792</v>
      </c>
      <c r="AW182" s="175">
        <v>3.9674731526231923</v>
      </c>
      <c r="AX182" s="175">
        <v>86</v>
      </c>
      <c r="AY182" s="175">
        <v>443</v>
      </c>
      <c r="AZ182" s="175">
        <v>0.19413092550790068</v>
      </c>
      <c r="BA182" s="175">
        <v>0.13294708942366618</v>
      </c>
      <c r="BB182" s="175">
        <v>0.271666</v>
      </c>
      <c r="BC182" s="207">
        <v>637</v>
      </c>
      <c r="BD182" s="175">
        <v>611</v>
      </c>
      <c r="BE182" s="175">
        <v>1.0425531914893618</v>
      </c>
      <c r="BF182" s="175">
        <v>0.6336463088982687</v>
      </c>
      <c r="BG182" s="175">
        <v>0</v>
      </c>
      <c r="BH182" s="175">
        <v>0</v>
      </c>
      <c r="BI182" s="207">
        <v>0</v>
      </c>
      <c r="BJ182" s="207">
        <v>-411.12</v>
      </c>
      <c r="BK182" s="207">
        <v>-7023.299999999999</v>
      </c>
      <c r="BL182" s="207">
        <v>-479.64000000000004</v>
      </c>
      <c r="BM182" s="207">
        <v>0</v>
      </c>
      <c r="BN182" s="207">
        <v>0</v>
      </c>
      <c r="BO182" s="207">
        <v>-43711</v>
      </c>
      <c r="BP182" s="207">
        <v>-37968.78030164512</v>
      </c>
      <c r="BQ182" s="207">
        <v>-72905.28</v>
      </c>
      <c r="BR182" s="207">
        <v>63048.20871804934</v>
      </c>
      <c r="BS182" s="207">
        <v>234115</v>
      </c>
      <c r="BT182" s="207">
        <v>67290</v>
      </c>
      <c r="BU182" s="207">
        <v>168977.94436263852</v>
      </c>
      <c r="BV182" s="207">
        <v>9010.292511181933</v>
      </c>
      <c r="BW182" s="207">
        <v>8334.40104357321</v>
      </c>
      <c r="BX182" s="207">
        <v>76406.0058587274</v>
      </c>
      <c r="BY182" s="207">
        <v>102718.41957583952</v>
      </c>
      <c r="BZ182" s="207">
        <v>162135.96327907612</v>
      </c>
      <c r="CA182" s="207">
        <v>50497.781897483066</v>
      </c>
      <c r="CB182" s="207">
        <v>91577.20905734859</v>
      </c>
      <c r="CC182" s="207">
        <v>154.17</v>
      </c>
      <c r="CD182" s="207">
        <v>-3862.5930684434243</v>
      </c>
      <c r="CE182" s="207">
        <v>103244.78340792577</v>
      </c>
      <c r="CF182" s="207">
        <v>-121218.30689371933</v>
      </c>
      <c r="CG182" s="207">
        <v>85920.12775831987</v>
      </c>
      <c r="CH182" s="207">
        <v>127864.93209143121</v>
      </c>
      <c r="CI182" s="207">
        <v>0</v>
      </c>
      <c r="CJ182" s="207">
        <v>1578702.309283399</v>
      </c>
      <c r="CK182" s="207">
        <v>-262760</v>
      </c>
      <c r="CL182" s="207">
        <v>42265.4</v>
      </c>
      <c r="CM182" s="207">
        <v>48018.948000000004</v>
      </c>
      <c r="CN182" s="207">
        <v>-5753.5480000000025</v>
      </c>
      <c r="CO182" s="207">
        <v>4871945.108701799</v>
      </c>
      <c r="CP182" s="207">
        <v>5881061.080336591</v>
      </c>
      <c r="CQ182" s="207">
        <v>1739</v>
      </c>
    </row>
    <row r="183" spans="1:95" ht="11.25">
      <c r="A183" s="207">
        <v>592</v>
      </c>
      <c r="B183" s="207" t="s">
        <v>239</v>
      </c>
      <c r="C183" s="207">
        <v>3900</v>
      </c>
      <c r="D183" s="207">
        <v>14999207.95</v>
      </c>
      <c r="E183" s="207">
        <v>4787083.721764272</v>
      </c>
      <c r="F183" s="207">
        <v>833036.1389561754</v>
      </c>
      <c r="G183" s="207">
        <v>20619327.810720444</v>
      </c>
      <c r="H183" s="207">
        <v>3664.46</v>
      </c>
      <c r="I183" s="207">
        <v>14291394</v>
      </c>
      <c r="J183" s="207">
        <v>6327933.810720444</v>
      </c>
      <c r="K183" s="207">
        <v>39578.42112332544</v>
      </c>
      <c r="L183" s="207">
        <v>-156793.47090832074</v>
      </c>
      <c r="M183" s="207">
        <v>0</v>
      </c>
      <c r="N183" s="207">
        <v>6210718.760935449</v>
      </c>
      <c r="O183" s="207">
        <v>2846140.5960687166</v>
      </c>
      <c r="P183" s="207">
        <v>9056859.357004166</v>
      </c>
      <c r="Q183" s="207">
        <v>257</v>
      </c>
      <c r="R183" s="207">
        <v>49</v>
      </c>
      <c r="S183" s="207">
        <v>356</v>
      </c>
      <c r="T183" s="207">
        <v>156</v>
      </c>
      <c r="U183" s="207">
        <v>148</v>
      </c>
      <c r="V183" s="207">
        <v>2006</v>
      </c>
      <c r="W183" s="207">
        <v>526</v>
      </c>
      <c r="X183" s="207">
        <v>285</v>
      </c>
      <c r="Y183" s="207">
        <v>117</v>
      </c>
      <c r="Z183" s="207">
        <v>5</v>
      </c>
      <c r="AA183" s="207">
        <v>1</v>
      </c>
      <c r="AB183" s="207">
        <v>3838</v>
      </c>
      <c r="AC183" s="207">
        <v>56</v>
      </c>
      <c r="AD183" s="207">
        <v>928</v>
      </c>
      <c r="AE183" s="481">
        <v>1.038941440225944</v>
      </c>
      <c r="AF183" s="207">
        <v>4787083.721764272</v>
      </c>
      <c r="AG183" s="207" t="e">
        <v>#DIV/0!</v>
      </c>
      <c r="AH183" s="207" t="e">
        <v>#DIV/0!</v>
      </c>
      <c r="AI183" s="207" t="e">
        <v>#DIV/0!</v>
      </c>
      <c r="AJ183" s="175">
        <v>167</v>
      </c>
      <c r="AK183" s="175">
        <v>1749</v>
      </c>
      <c r="AL183" s="175">
        <v>0.9787029571511461</v>
      </c>
      <c r="AM183" s="175">
        <v>56</v>
      </c>
      <c r="AN183" s="175">
        <v>0.014358974358974359</v>
      </c>
      <c r="AO183" s="175">
        <v>0.011077895248511362</v>
      </c>
      <c r="AP183" s="175">
        <v>0</v>
      </c>
      <c r="AQ183" s="175">
        <v>5</v>
      </c>
      <c r="AR183" s="175">
        <v>1</v>
      </c>
      <c r="AS183" s="175">
        <v>0</v>
      </c>
      <c r="AT183" s="175">
        <v>0</v>
      </c>
      <c r="AU183" s="175">
        <v>456.4</v>
      </c>
      <c r="AV183" s="175">
        <v>8.545135845749343</v>
      </c>
      <c r="AW183" s="175">
        <v>2.1240764884904544</v>
      </c>
      <c r="AX183" s="175">
        <v>122</v>
      </c>
      <c r="AY183" s="175">
        <v>1191</v>
      </c>
      <c r="AZ183" s="175">
        <v>0.10243492863140219</v>
      </c>
      <c r="BA183" s="175">
        <v>0.041251092547167696</v>
      </c>
      <c r="BB183" s="175">
        <v>0</v>
      </c>
      <c r="BC183" s="207">
        <v>839</v>
      </c>
      <c r="BD183" s="175">
        <v>1489</v>
      </c>
      <c r="BE183" s="175">
        <v>0.5634654130288784</v>
      </c>
      <c r="BF183" s="175">
        <v>0.15455853043778534</v>
      </c>
      <c r="BG183" s="175">
        <v>0</v>
      </c>
      <c r="BH183" s="175">
        <v>1</v>
      </c>
      <c r="BI183" s="207">
        <v>0</v>
      </c>
      <c r="BJ183" s="207">
        <v>-936</v>
      </c>
      <c r="BK183" s="207">
        <v>-15989.999999999998</v>
      </c>
      <c r="BL183" s="207">
        <v>-1092</v>
      </c>
      <c r="BM183" s="207">
        <v>0</v>
      </c>
      <c r="BN183" s="207">
        <v>0</v>
      </c>
      <c r="BO183" s="207">
        <v>123623</v>
      </c>
      <c r="BP183" s="207">
        <v>-88869.33662158472</v>
      </c>
      <c r="BQ183" s="207">
        <v>-165984</v>
      </c>
      <c r="BR183" s="207">
        <v>36948.840584326535</v>
      </c>
      <c r="BS183" s="207">
        <v>354457</v>
      </c>
      <c r="BT183" s="207">
        <v>106582</v>
      </c>
      <c r="BU183" s="207">
        <v>254905.20955377643</v>
      </c>
      <c r="BV183" s="207">
        <v>8332.65349028518</v>
      </c>
      <c r="BW183" s="207">
        <v>26530.701781500757</v>
      </c>
      <c r="BX183" s="207">
        <v>123476.20413054695</v>
      </c>
      <c r="BY183" s="207">
        <v>207997.30219506685</v>
      </c>
      <c r="BZ183" s="207">
        <v>310773.8657329674</v>
      </c>
      <c r="CA183" s="207">
        <v>88610.83356448845</v>
      </c>
      <c r="CB183" s="207">
        <v>171137.42344327332</v>
      </c>
      <c r="CC183" s="207">
        <v>351</v>
      </c>
      <c r="CD183" s="207">
        <v>10784.547024344334</v>
      </c>
      <c r="CE183" s="207">
        <v>356668.865713264</v>
      </c>
      <c r="CF183" s="207">
        <v>-156793.47090832074</v>
      </c>
      <c r="CG183" s="207">
        <v>181100.47810459314</v>
      </c>
      <c r="CH183" s="207">
        <v>236081.94726790593</v>
      </c>
      <c r="CI183" s="207">
        <v>0</v>
      </c>
      <c r="CJ183" s="207">
        <v>2846140.5960687166</v>
      </c>
      <c r="CK183" s="207">
        <v>-151036</v>
      </c>
      <c r="CL183" s="207">
        <v>167766.37000000002</v>
      </c>
      <c r="CM183" s="207">
        <v>44865.4038</v>
      </c>
      <c r="CN183" s="207">
        <v>122900.96620000002</v>
      </c>
      <c r="CO183" s="207">
        <v>8905823.357004166</v>
      </c>
      <c r="CP183" s="207">
        <v>9786279.888219858</v>
      </c>
      <c r="CQ183" s="207">
        <v>3920</v>
      </c>
    </row>
    <row r="184" spans="1:95" ht="11.25">
      <c r="A184" s="207">
        <v>593</v>
      </c>
      <c r="B184" s="207" t="s">
        <v>240</v>
      </c>
      <c r="C184" s="207">
        <v>17933</v>
      </c>
      <c r="D184" s="207">
        <v>63354741.11</v>
      </c>
      <c r="E184" s="207">
        <v>32781893.244790483</v>
      </c>
      <c r="F184" s="207">
        <v>4069153.414966755</v>
      </c>
      <c r="G184" s="207">
        <v>100205787.76975724</v>
      </c>
      <c r="H184" s="207">
        <v>3664.46</v>
      </c>
      <c r="I184" s="207">
        <v>65714761.18</v>
      </c>
      <c r="J184" s="207">
        <v>34491026.58975724</v>
      </c>
      <c r="K184" s="207">
        <v>699520.9068525747</v>
      </c>
      <c r="L184" s="207">
        <v>-2384350.3261626614</v>
      </c>
      <c r="M184" s="207">
        <v>0</v>
      </c>
      <c r="N184" s="207">
        <v>32806197.170447152</v>
      </c>
      <c r="O184" s="207">
        <v>10345412.301975196</v>
      </c>
      <c r="P184" s="207">
        <v>43151609.47242235</v>
      </c>
      <c r="Q184" s="207">
        <v>761</v>
      </c>
      <c r="R184" s="207">
        <v>134</v>
      </c>
      <c r="S184" s="207">
        <v>945</v>
      </c>
      <c r="T184" s="207">
        <v>481</v>
      </c>
      <c r="U184" s="207">
        <v>549</v>
      </c>
      <c r="V184" s="207">
        <v>9557</v>
      </c>
      <c r="W184" s="207">
        <v>3011</v>
      </c>
      <c r="X184" s="207">
        <v>1777</v>
      </c>
      <c r="Y184" s="207">
        <v>718</v>
      </c>
      <c r="Z184" s="207">
        <v>20</v>
      </c>
      <c r="AA184" s="207">
        <v>0</v>
      </c>
      <c r="AB184" s="207">
        <v>17430</v>
      </c>
      <c r="AC184" s="207">
        <v>483</v>
      </c>
      <c r="AD184" s="207">
        <v>5506</v>
      </c>
      <c r="AE184" s="481">
        <v>1.547268686987112</v>
      </c>
      <c r="AF184" s="207">
        <v>32781893.244790483</v>
      </c>
      <c r="AG184" s="207" t="e">
        <v>#DIV/0!</v>
      </c>
      <c r="AH184" s="207" t="e">
        <v>#DIV/0!</v>
      </c>
      <c r="AI184" s="207" t="e">
        <v>#DIV/0!</v>
      </c>
      <c r="AJ184" s="175">
        <v>714</v>
      </c>
      <c r="AK184" s="175">
        <v>7723</v>
      </c>
      <c r="AL184" s="175">
        <v>0.9476247952487755</v>
      </c>
      <c r="AM184" s="175">
        <v>483</v>
      </c>
      <c r="AN184" s="175">
        <v>0.026933586126136173</v>
      </c>
      <c r="AO184" s="175">
        <v>0.023652507015673178</v>
      </c>
      <c r="AP184" s="175">
        <v>0</v>
      </c>
      <c r="AQ184" s="175">
        <v>20</v>
      </c>
      <c r="AR184" s="175">
        <v>0</v>
      </c>
      <c r="AS184" s="175">
        <v>0</v>
      </c>
      <c r="AT184" s="175">
        <v>0</v>
      </c>
      <c r="AU184" s="175">
        <v>1568.7</v>
      </c>
      <c r="AV184" s="175">
        <v>11.431758781156372</v>
      </c>
      <c r="AW184" s="175">
        <v>1.5877278805805215</v>
      </c>
      <c r="AX184" s="175">
        <v>637</v>
      </c>
      <c r="AY184" s="175">
        <v>4773</v>
      </c>
      <c r="AZ184" s="175">
        <v>0.13345904043578463</v>
      </c>
      <c r="BA184" s="175">
        <v>0.07227520435155013</v>
      </c>
      <c r="BB184" s="175">
        <v>0</v>
      </c>
      <c r="BC184" s="207">
        <v>6710</v>
      </c>
      <c r="BD184" s="175">
        <v>6690</v>
      </c>
      <c r="BE184" s="175">
        <v>1.0029895366218236</v>
      </c>
      <c r="BF184" s="175">
        <v>0.5940826540307305</v>
      </c>
      <c r="BG184" s="175">
        <v>0</v>
      </c>
      <c r="BH184" s="175">
        <v>0</v>
      </c>
      <c r="BI184" s="207">
        <v>0</v>
      </c>
      <c r="BJ184" s="207">
        <v>-4303.92</v>
      </c>
      <c r="BK184" s="207">
        <v>-73525.29999999999</v>
      </c>
      <c r="BL184" s="207">
        <v>-5021.240000000001</v>
      </c>
      <c r="BM184" s="207">
        <v>0</v>
      </c>
      <c r="BN184" s="207">
        <v>0</v>
      </c>
      <c r="BO184" s="207">
        <v>-13406</v>
      </c>
      <c r="BP184" s="207">
        <v>-1124621.9273237363</v>
      </c>
      <c r="BQ184" s="207">
        <v>-763228.4800000001</v>
      </c>
      <c r="BR184" s="207">
        <v>-146001.90130151063</v>
      </c>
      <c r="BS184" s="207">
        <v>1560090</v>
      </c>
      <c r="BT184" s="207">
        <v>513971</v>
      </c>
      <c r="BU184" s="207">
        <v>1260126.626801296</v>
      </c>
      <c r="BV184" s="207">
        <v>63467.03263140767</v>
      </c>
      <c r="BW184" s="207">
        <v>157346.3627602417</v>
      </c>
      <c r="BX184" s="207">
        <v>647965.8766096516</v>
      </c>
      <c r="BY184" s="207">
        <v>974534.7401775933</v>
      </c>
      <c r="BZ184" s="207">
        <v>1699306.929225473</v>
      </c>
      <c r="CA184" s="207">
        <v>475978.1111922534</v>
      </c>
      <c r="CB184" s="207">
        <v>854011.9896444147</v>
      </c>
      <c r="CC184" s="207">
        <v>1613.97</v>
      </c>
      <c r="CD184" s="207">
        <v>-47434.341976993484</v>
      </c>
      <c r="CE184" s="207">
        <v>692637.311161075</v>
      </c>
      <c r="CF184" s="207">
        <v>-2384350.3261626614</v>
      </c>
      <c r="CG184" s="207">
        <v>880111.9144395791</v>
      </c>
      <c r="CH184" s="207">
        <v>1141783.9007230988</v>
      </c>
      <c r="CI184" s="207">
        <v>0</v>
      </c>
      <c r="CJ184" s="207">
        <v>10345412.301975196</v>
      </c>
      <c r="CK184" s="207">
        <v>-2066221</v>
      </c>
      <c r="CL184" s="207">
        <v>180036.97000000003</v>
      </c>
      <c r="CM184" s="207">
        <v>279906.02</v>
      </c>
      <c r="CN184" s="207">
        <v>-99869.04999999999</v>
      </c>
      <c r="CO184" s="207">
        <v>41085388.47242235</v>
      </c>
      <c r="CP184" s="207">
        <v>46643891.22517727</v>
      </c>
      <c r="CQ184" s="207">
        <v>18220</v>
      </c>
    </row>
    <row r="185" spans="1:95" ht="11.25">
      <c r="A185" s="207">
        <v>595</v>
      </c>
      <c r="B185" s="207" t="s">
        <v>241</v>
      </c>
      <c r="C185" s="207">
        <v>4498</v>
      </c>
      <c r="D185" s="207">
        <v>18033482.09</v>
      </c>
      <c r="E185" s="207">
        <v>9982232.360517055</v>
      </c>
      <c r="F185" s="207">
        <v>1485152.432509655</v>
      </c>
      <c r="G185" s="207">
        <v>29500866.883026708</v>
      </c>
      <c r="H185" s="207">
        <v>3664.46</v>
      </c>
      <c r="I185" s="207">
        <v>16482741.08</v>
      </c>
      <c r="J185" s="207">
        <v>13018125.803026708</v>
      </c>
      <c r="K185" s="207">
        <v>609010.5689678022</v>
      </c>
      <c r="L185" s="207">
        <v>-193667.29543046</v>
      </c>
      <c r="M185" s="207">
        <v>0</v>
      </c>
      <c r="N185" s="207">
        <v>13433469.076564051</v>
      </c>
      <c r="O185" s="207">
        <v>4783554.804273348</v>
      </c>
      <c r="P185" s="207">
        <v>18217023.8808374</v>
      </c>
      <c r="Q185" s="207">
        <v>192</v>
      </c>
      <c r="R185" s="207">
        <v>42</v>
      </c>
      <c r="S185" s="207">
        <v>306</v>
      </c>
      <c r="T185" s="207">
        <v>159</v>
      </c>
      <c r="U185" s="207">
        <v>113</v>
      </c>
      <c r="V185" s="207">
        <v>2105</v>
      </c>
      <c r="W185" s="207">
        <v>850</v>
      </c>
      <c r="X185" s="207">
        <v>504</v>
      </c>
      <c r="Y185" s="207">
        <v>227</v>
      </c>
      <c r="Z185" s="207">
        <v>7</v>
      </c>
      <c r="AA185" s="207">
        <v>0</v>
      </c>
      <c r="AB185" s="207">
        <v>4415</v>
      </c>
      <c r="AC185" s="207">
        <v>76</v>
      </c>
      <c r="AD185" s="207">
        <v>1581</v>
      </c>
      <c r="AE185" s="481">
        <v>1.8784207505670656</v>
      </c>
      <c r="AF185" s="207">
        <v>9982232.360517055</v>
      </c>
      <c r="AG185" s="207" t="e">
        <v>#DIV/0!</v>
      </c>
      <c r="AH185" s="207" t="e">
        <v>#DIV/0!</v>
      </c>
      <c r="AI185" s="207" t="e">
        <v>#DIV/0!</v>
      </c>
      <c r="AJ185" s="175">
        <v>159</v>
      </c>
      <c r="AK185" s="175">
        <v>1705</v>
      </c>
      <c r="AL185" s="175">
        <v>0.9558659246566785</v>
      </c>
      <c r="AM185" s="175">
        <v>76</v>
      </c>
      <c r="AN185" s="175">
        <v>0.016896398399288574</v>
      </c>
      <c r="AO185" s="175">
        <v>0.013615319288825579</v>
      </c>
      <c r="AP185" s="175">
        <v>0</v>
      </c>
      <c r="AQ185" s="175">
        <v>7</v>
      </c>
      <c r="AR185" s="175">
        <v>0</v>
      </c>
      <c r="AS185" s="175">
        <v>0</v>
      </c>
      <c r="AT185" s="175">
        <v>0</v>
      </c>
      <c r="AU185" s="175">
        <v>1153.22</v>
      </c>
      <c r="AV185" s="175">
        <v>3.900383274657047</v>
      </c>
      <c r="AW185" s="175">
        <v>4.653522708613581</v>
      </c>
      <c r="AX185" s="175">
        <v>139</v>
      </c>
      <c r="AY185" s="175">
        <v>1044</v>
      </c>
      <c r="AZ185" s="175">
        <v>0.1331417624521073</v>
      </c>
      <c r="BA185" s="175">
        <v>0.0719579263678728</v>
      </c>
      <c r="BB185" s="175">
        <v>0.484333</v>
      </c>
      <c r="BC185" s="207">
        <v>1312</v>
      </c>
      <c r="BD185" s="175">
        <v>1499</v>
      </c>
      <c r="BE185" s="175">
        <v>0.875250166777852</v>
      </c>
      <c r="BF185" s="175">
        <v>0.46634328418675886</v>
      </c>
      <c r="BG185" s="175">
        <v>0</v>
      </c>
      <c r="BH185" s="175">
        <v>0</v>
      </c>
      <c r="BI185" s="207">
        <v>0</v>
      </c>
      <c r="BJ185" s="207">
        <v>-1079.52</v>
      </c>
      <c r="BK185" s="207">
        <v>-18441.8</v>
      </c>
      <c r="BL185" s="207">
        <v>-1259.44</v>
      </c>
      <c r="BM185" s="207">
        <v>0</v>
      </c>
      <c r="BN185" s="207">
        <v>0</v>
      </c>
      <c r="BO185" s="207">
        <v>17169</v>
      </c>
      <c r="BP185" s="207">
        <v>-150838.7254556036</v>
      </c>
      <c r="BQ185" s="207">
        <v>-191434.88</v>
      </c>
      <c r="BR185" s="207">
        <v>172400.20626162738</v>
      </c>
      <c r="BS185" s="207">
        <v>533260</v>
      </c>
      <c r="BT185" s="207">
        <v>148458</v>
      </c>
      <c r="BU185" s="207">
        <v>383608.90878330654</v>
      </c>
      <c r="BV185" s="207">
        <v>21691.08045287163</v>
      </c>
      <c r="BW185" s="207">
        <v>60410.255073567154</v>
      </c>
      <c r="BX185" s="207">
        <v>212891.88876775064</v>
      </c>
      <c r="BY185" s="207">
        <v>253801.99598146603</v>
      </c>
      <c r="BZ185" s="207">
        <v>410291.2388869653</v>
      </c>
      <c r="CA185" s="207">
        <v>117412.21913634996</v>
      </c>
      <c r="CB185" s="207">
        <v>229967.5813498246</v>
      </c>
      <c r="CC185" s="207">
        <v>404.82</v>
      </c>
      <c r="CD185" s="207">
        <v>-6665.789129536213</v>
      </c>
      <c r="CE185" s="207">
        <v>446868.69002514356</v>
      </c>
      <c r="CF185" s="207">
        <v>-193667.29543046</v>
      </c>
      <c r="CG185" s="207">
        <v>259107.43289305235</v>
      </c>
      <c r="CH185" s="207">
        <v>303719.75301440444</v>
      </c>
      <c r="CI185" s="207">
        <v>0</v>
      </c>
      <c r="CJ185" s="207">
        <v>4783554.804273348</v>
      </c>
      <c r="CK185" s="207">
        <v>-116278</v>
      </c>
      <c r="CL185" s="207">
        <v>176014.94000000003</v>
      </c>
      <c r="CM185" s="207">
        <v>107258.678</v>
      </c>
      <c r="CN185" s="207">
        <v>68756.26200000003</v>
      </c>
      <c r="CO185" s="207">
        <v>18100745.8808374</v>
      </c>
      <c r="CP185" s="207">
        <v>19829320.524824403</v>
      </c>
      <c r="CQ185" s="207">
        <v>4624</v>
      </c>
    </row>
    <row r="186" spans="1:95" ht="11.25">
      <c r="A186" s="207">
        <v>598</v>
      </c>
      <c r="B186" s="207" t="s">
        <v>242</v>
      </c>
      <c r="C186" s="207">
        <v>19278</v>
      </c>
      <c r="D186" s="207">
        <v>70883190.76</v>
      </c>
      <c r="E186" s="207">
        <v>22924369.363995817</v>
      </c>
      <c r="F186" s="207">
        <v>8719654.17481476</v>
      </c>
      <c r="G186" s="207">
        <v>102527214.29881059</v>
      </c>
      <c r="H186" s="207">
        <v>3664.46</v>
      </c>
      <c r="I186" s="207">
        <v>70643459.88</v>
      </c>
      <c r="J186" s="207">
        <v>31883754.41881059</v>
      </c>
      <c r="K186" s="207">
        <v>1181899.9785512201</v>
      </c>
      <c r="L186" s="207">
        <v>-2307886.923993011</v>
      </c>
      <c r="M186" s="207">
        <v>0</v>
      </c>
      <c r="N186" s="207">
        <v>30757767.4733688</v>
      </c>
      <c r="O186" s="207">
        <v>3542109.142846924</v>
      </c>
      <c r="P186" s="207">
        <v>34299876.61621573</v>
      </c>
      <c r="Q186" s="207">
        <v>1102</v>
      </c>
      <c r="R186" s="207">
        <v>188</v>
      </c>
      <c r="S186" s="207">
        <v>1316</v>
      </c>
      <c r="T186" s="207">
        <v>649</v>
      </c>
      <c r="U186" s="207">
        <v>668</v>
      </c>
      <c r="V186" s="207">
        <v>10426</v>
      </c>
      <c r="W186" s="207">
        <v>2591</v>
      </c>
      <c r="X186" s="207">
        <v>1658</v>
      </c>
      <c r="Y186" s="207">
        <v>680</v>
      </c>
      <c r="Z186" s="207">
        <v>10861</v>
      </c>
      <c r="AA186" s="207">
        <v>2</v>
      </c>
      <c r="AB186" s="207">
        <v>6681</v>
      </c>
      <c r="AC186" s="207">
        <v>1734</v>
      </c>
      <c r="AD186" s="207">
        <v>4929</v>
      </c>
      <c r="AE186" s="481">
        <v>1.0065145903120165</v>
      </c>
      <c r="AF186" s="207">
        <v>22924369.363995817</v>
      </c>
      <c r="AG186" s="207" t="e">
        <v>#DIV/0!</v>
      </c>
      <c r="AH186" s="207" t="e">
        <v>#DIV/0!</v>
      </c>
      <c r="AI186" s="207" t="e">
        <v>#DIV/0!</v>
      </c>
      <c r="AJ186" s="175">
        <v>633</v>
      </c>
      <c r="AK186" s="175">
        <v>8713</v>
      </c>
      <c r="AL186" s="175">
        <v>0.7446637874112708</v>
      </c>
      <c r="AM186" s="175">
        <v>1734</v>
      </c>
      <c r="AN186" s="175">
        <v>0.08994708994708994</v>
      </c>
      <c r="AO186" s="175">
        <v>0.08666601083662695</v>
      </c>
      <c r="AP186" s="175">
        <v>3</v>
      </c>
      <c r="AQ186" s="175">
        <v>10861</v>
      </c>
      <c r="AR186" s="175">
        <v>2</v>
      </c>
      <c r="AS186" s="175">
        <v>0</v>
      </c>
      <c r="AT186" s="175">
        <v>0</v>
      </c>
      <c r="AU186" s="175">
        <v>88.45</v>
      </c>
      <c r="AV186" s="175">
        <v>217.95364612775577</v>
      </c>
      <c r="AW186" s="175">
        <v>0.08327698326401961</v>
      </c>
      <c r="AX186" s="175">
        <v>906</v>
      </c>
      <c r="AY186" s="175">
        <v>5663</v>
      </c>
      <c r="AZ186" s="175">
        <v>0.1599858732120784</v>
      </c>
      <c r="BA186" s="175">
        <v>0.09880203712784391</v>
      </c>
      <c r="BB186" s="175">
        <v>0</v>
      </c>
      <c r="BC186" s="207">
        <v>10447</v>
      </c>
      <c r="BD186" s="175">
        <v>7781</v>
      </c>
      <c r="BE186" s="175">
        <v>1.342629482071713</v>
      </c>
      <c r="BF186" s="175">
        <v>0.93372259948062</v>
      </c>
      <c r="BG186" s="175">
        <v>0</v>
      </c>
      <c r="BH186" s="175">
        <v>2</v>
      </c>
      <c r="BI186" s="207">
        <v>0</v>
      </c>
      <c r="BJ186" s="207">
        <v>-4626.72</v>
      </c>
      <c r="BK186" s="207">
        <v>-79039.79999999999</v>
      </c>
      <c r="BL186" s="207">
        <v>-5397.84</v>
      </c>
      <c r="BM186" s="207">
        <v>0</v>
      </c>
      <c r="BN186" s="207">
        <v>0</v>
      </c>
      <c r="BO186" s="207">
        <v>55415</v>
      </c>
      <c r="BP186" s="207">
        <v>-875163.485719433</v>
      </c>
      <c r="BQ186" s="207">
        <v>-820471.68</v>
      </c>
      <c r="BR186" s="207">
        <v>-237921.06673301756</v>
      </c>
      <c r="BS186" s="207">
        <v>1399413</v>
      </c>
      <c r="BT186" s="207">
        <v>472806</v>
      </c>
      <c r="BU186" s="207">
        <v>1012050.8967615775</v>
      </c>
      <c r="BV186" s="207">
        <v>35295.871407672465</v>
      </c>
      <c r="BW186" s="207">
        <v>186705.40611594936</v>
      </c>
      <c r="BX186" s="207">
        <v>590374.8610830926</v>
      </c>
      <c r="BY186" s="207">
        <v>933102.3237829336</v>
      </c>
      <c r="BZ186" s="207">
        <v>1480886.5428554113</v>
      </c>
      <c r="CA186" s="207">
        <v>440089.8823201661</v>
      </c>
      <c r="CB186" s="207">
        <v>804269.1346674932</v>
      </c>
      <c r="CC186" s="207">
        <v>1735.02</v>
      </c>
      <c r="CD186" s="207">
        <v>-72742.85898174977</v>
      </c>
      <c r="CE186" s="207">
        <v>666072.421726422</v>
      </c>
      <c r="CF186" s="207">
        <v>-2307886.923993011</v>
      </c>
      <c r="CG186" s="207">
        <v>900501.1074411893</v>
      </c>
      <c r="CH186" s="207">
        <v>1078864.7330097693</v>
      </c>
      <c r="CI186" s="207">
        <v>0</v>
      </c>
      <c r="CJ186" s="207">
        <v>3542109.142846924</v>
      </c>
      <c r="CK186" s="207">
        <v>879218</v>
      </c>
      <c r="CL186" s="207">
        <v>994191.28</v>
      </c>
      <c r="CM186" s="207">
        <v>217694.07800000004</v>
      </c>
      <c r="CN186" s="207">
        <v>776497.202</v>
      </c>
      <c r="CO186" s="207">
        <v>35179094.61621573</v>
      </c>
      <c r="CP186" s="207">
        <v>39560851.296687126</v>
      </c>
      <c r="CQ186" s="207">
        <v>19379</v>
      </c>
    </row>
    <row r="187" spans="1:95" ht="11.25">
      <c r="A187" s="207">
        <v>601</v>
      </c>
      <c r="B187" s="207" t="s">
        <v>243</v>
      </c>
      <c r="C187" s="207">
        <v>4053</v>
      </c>
      <c r="D187" s="207">
        <v>15625726.07</v>
      </c>
      <c r="E187" s="207">
        <v>7483420.803240963</v>
      </c>
      <c r="F187" s="207">
        <v>1402061.4460218525</v>
      </c>
      <c r="G187" s="207">
        <v>24511208.319262814</v>
      </c>
      <c r="H187" s="207">
        <v>3664.46</v>
      </c>
      <c r="I187" s="207">
        <v>14852056.38</v>
      </c>
      <c r="J187" s="207">
        <v>9659151.939262813</v>
      </c>
      <c r="K187" s="207">
        <v>1605444.1113177887</v>
      </c>
      <c r="L187" s="207">
        <v>-241390.3586351268</v>
      </c>
      <c r="M187" s="207">
        <v>0</v>
      </c>
      <c r="N187" s="207">
        <v>11023205.691945475</v>
      </c>
      <c r="O187" s="207">
        <v>3914353.7174362843</v>
      </c>
      <c r="P187" s="207">
        <v>14937559.409381758</v>
      </c>
      <c r="Q187" s="207">
        <v>191</v>
      </c>
      <c r="R187" s="207">
        <v>44</v>
      </c>
      <c r="S187" s="207">
        <v>283</v>
      </c>
      <c r="T187" s="207">
        <v>145</v>
      </c>
      <c r="U187" s="207">
        <v>141</v>
      </c>
      <c r="V187" s="207">
        <v>2040</v>
      </c>
      <c r="W187" s="207">
        <v>627</v>
      </c>
      <c r="X187" s="207">
        <v>414</v>
      </c>
      <c r="Y187" s="207">
        <v>168</v>
      </c>
      <c r="Z187" s="207">
        <v>0</v>
      </c>
      <c r="AA187" s="207">
        <v>0</v>
      </c>
      <c r="AB187" s="207">
        <v>4014</v>
      </c>
      <c r="AC187" s="207">
        <v>39</v>
      </c>
      <c r="AD187" s="207">
        <v>1209</v>
      </c>
      <c r="AE187" s="481">
        <v>1.5628173230659654</v>
      </c>
      <c r="AF187" s="207">
        <v>7483420.803240963</v>
      </c>
      <c r="AG187" s="207" t="e">
        <v>#DIV/0!</v>
      </c>
      <c r="AH187" s="207" t="e">
        <v>#DIV/0!</v>
      </c>
      <c r="AI187" s="207" t="e">
        <v>#DIV/0!</v>
      </c>
      <c r="AJ187" s="175">
        <v>197</v>
      </c>
      <c r="AK187" s="175">
        <v>1736</v>
      </c>
      <c r="AL187" s="175">
        <v>1.163163442683638</v>
      </c>
      <c r="AM187" s="175">
        <v>39</v>
      </c>
      <c r="AN187" s="175">
        <v>0.009622501850481125</v>
      </c>
      <c r="AO187" s="175">
        <v>0.006341422740018129</v>
      </c>
      <c r="AP187" s="175">
        <v>0</v>
      </c>
      <c r="AQ187" s="175">
        <v>0</v>
      </c>
      <c r="AR187" s="175">
        <v>0</v>
      </c>
      <c r="AS187" s="175">
        <v>0</v>
      </c>
      <c r="AT187" s="175">
        <v>0</v>
      </c>
      <c r="AU187" s="175">
        <v>1074.9</v>
      </c>
      <c r="AV187" s="175">
        <v>3.7705833100753554</v>
      </c>
      <c r="AW187" s="175">
        <v>4.813717307986077</v>
      </c>
      <c r="AX187" s="175">
        <v>153</v>
      </c>
      <c r="AY187" s="175">
        <v>1056</v>
      </c>
      <c r="AZ187" s="175">
        <v>0.14488636363636365</v>
      </c>
      <c r="BA187" s="175">
        <v>0.08370252755212915</v>
      </c>
      <c r="BB187" s="175">
        <v>1.104983</v>
      </c>
      <c r="BC187" s="207">
        <v>1431</v>
      </c>
      <c r="BD187" s="175">
        <v>1459</v>
      </c>
      <c r="BE187" s="175">
        <v>0.9808087731322824</v>
      </c>
      <c r="BF187" s="175">
        <v>0.5719018905411893</v>
      </c>
      <c r="BG187" s="175">
        <v>0</v>
      </c>
      <c r="BH187" s="175">
        <v>0</v>
      </c>
      <c r="BI187" s="207">
        <v>0</v>
      </c>
      <c r="BJ187" s="207">
        <v>-972.7199999999999</v>
      </c>
      <c r="BK187" s="207">
        <v>-16617.3</v>
      </c>
      <c r="BL187" s="207">
        <v>-1134.8400000000001</v>
      </c>
      <c r="BM187" s="207">
        <v>0</v>
      </c>
      <c r="BN187" s="207">
        <v>0</v>
      </c>
      <c r="BO187" s="207">
        <v>151779</v>
      </c>
      <c r="BP187" s="207">
        <v>-133605.04600687334</v>
      </c>
      <c r="BQ187" s="207">
        <v>-172495.68000000002</v>
      </c>
      <c r="BR187" s="207">
        <v>-25694.288820859045</v>
      </c>
      <c r="BS187" s="207">
        <v>435454</v>
      </c>
      <c r="BT187" s="207">
        <v>135058</v>
      </c>
      <c r="BU187" s="207">
        <v>346967.2032462885</v>
      </c>
      <c r="BV187" s="207">
        <v>19218.919902524325</v>
      </c>
      <c r="BW187" s="207">
        <v>38454.63865206143</v>
      </c>
      <c r="BX187" s="207">
        <v>181707.73576224397</v>
      </c>
      <c r="BY187" s="207">
        <v>245469.4342888694</v>
      </c>
      <c r="BZ187" s="207">
        <v>397891.3351114895</v>
      </c>
      <c r="CA187" s="207">
        <v>111904.98708906565</v>
      </c>
      <c r="CB187" s="207">
        <v>209324.67411016495</v>
      </c>
      <c r="CC187" s="207">
        <v>364.77</v>
      </c>
      <c r="CD187" s="207">
        <v>-12280.19243447551</v>
      </c>
      <c r="CE187" s="207">
        <v>333464.79737174656</v>
      </c>
      <c r="CF187" s="207">
        <v>-241390.3586351268</v>
      </c>
      <c r="CG187" s="207">
        <v>215283.03862708108</v>
      </c>
      <c r="CH187" s="207">
        <v>288519.1278513824</v>
      </c>
      <c r="CI187" s="207">
        <v>0</v>
      </c>
      <c r="CJ187" s="207">
        <v>3914353.7174362843</v>
      </c>
      <c r="CK187" s="207">
        <v>320314</v>
      </c>
      <c r="CL187" s="207">
        <v>35448.4</v>
      </c>
      <c r="CM187" s="207">
        <v>70896.79999999999</v>
      </c>
      <c r="CN187" s="207">
        <v>-35448.39999999999</v>
      </c>
      <c r="CO187" s="207">
        <v>15257873.409381758</v>
      </c>
      <c r="CP187" s="207">
        <v>16579167.028591195</v>
      </c>
      <c r="CQ187" s="207">
        <v>4127</v>
      </c>
    </row>
    <row r="188" spans="1:95" ht="11.25">
      <c r="A188" s="207">
        <v>604</v>
      </c>
      <c r="B188" s="207" t="s">
        <v>244</v>
      </c>
      <c r="C188" s="207">
        <v>19368</v>
      </c>
      <c r="D188" s="207">
        <v>68851599.95</v>
      </c>
      <c r="E188" s="207">
        <v>15896865.252492143</v>
      </c>
      <c r="F188" s="207">
        <v>2589278.5356469043</v>
      </c>
      <c r="G188" s="207">
        <v>87337743.73813905</v>
      </c>
      <c r="H188" s="207">
        <v>3664.46</v>
      </c>
      <c r="I188" s="207">
        <v>70973261.28</v>
      </c>
      <c r="J188" s="207">
        <v>16364482.458139047</v>
      </c>
      <c r="K188" s="207">
        <v>494146.12851106364</v>
      </c>
      <c r="L188" s="207">
        <v>-2509191.0707800486</v>
      </c>
      <c r="M188" s="207">
        <v>0</v>
      </c>
      <c r="N188" s="207">
        <v>14349437.515870063</v>
      </c>
      <c r="O188" s="207">
        <v>-3227175.379546586</v>
      </c>
      <c r="P188" s="207">
        <v>11122262.136323476</v>
      </c>
      <c r="Q188" s="207">
        <v>1455</v>
      </c>
      <c r="R188" s="207">
        <v>289</v>
      </c>
      <c r="S188" s="207">
        <v>1682</v>
      </c>
      <c r="T188" s="207">
        <v>824</v>
      </c>
      <c r="U188" s="207">
        <v>696</v>
      </c>
      <c r="V188" s="207">
        <v>11002</v>
      </c>
      <c r="W188" s="207">
        <v>2080</v>
      </c>
      <c r="X188" s="207">
        <v>1025</v>
      </c>
      <c r="Y188" s="207">
        <v>315</v>
      </c>
      <c r="Z188" s="207">
        <v>84</v>
      </c>
      <c r="AA188" s="207">
        <v>1</v>
      </c>
      <c r="AB188" s="207">
        <v>18565</v>
      </c>
      <c r="AC188" s="207">
        <v>718</v>
      </c>
      <c r="AD188" s="207">
        <v>3420</v>
      </c>
      <c r="AE188" s="481">
        <v>0.6947225085345853</v>
      </c>
      <c r="AF188" s="207">
        <v>15896865.252492143</v>
      </c>
      <c r="AG188" s="207" t="e">
        <v>#DIV/0!</v>
      </c>
      <c r="AH188" s="207" t="e">
        <v>#DIV/0!</v>
      </c>
      <c r="AI188" s="207" t="e">
        <v>#DIV/0!</v>
      </c>
      <c r="AJ188" s="175">
        <v>593</v>
      </c>
      <c r="AK188" s="175">
        <v>9493</v>
      </c>
      <c r="AL188" s="175">
        <v>0.6402881309518399</v>
      </c>
      <c r="AM188" s="175">
        <v>718</v>
      </c>
      <c r="AN188" s="175">
        <v>0.03707145807517555</v>
      </c>
      <c r="AO188" s="175">
        <v>0.03379037896471255</v>
      </c>
      <c r="AP188" s="175">
        <v>0</v>
      </c>
      <c r="AQ188" s="175">
        <v>84</v>
      </c>
      <c r="AR188" s="175">
        <v>1</v>
      </c>
      <c r="AS188" s="175">
        <v>0</v>
      </c>
      <c r="AT188" s="175">
        <v>0</v>
      </c>
      <c r="AU188" s="175">
        <v>81.42</v>
      </c>
      <c r="AV188" s="175">
        <v>237.8776713338246</v>
      </c>
      <c r="AW188" s="175">
        <v>0.07630191618717216</v>
      </c>
      <c r="AX188" s="175">
        <v>497</v>
      </c>
      <c r="AY188" s="175">
        <v>6841</v>
      </c>
      <c r="AZ188" s="175">
        <v>0.07265019733957023</v>
      </c>
      <c r="BA188" s="175">
        <v>0.01146636125533574</v>
      </c>
      <c r="BB188" s="175">
        <v>0</v>
      </c>
      <c r="BC188" s="207">
        <v>6765</v>
      </c>
      <c r="BD188" s="175">
        <v>8483</v>
      </c>
      <c r="BE188" s="175">
        <v>0.7974773075562891</v>
      </c>
      <c r="BF188" s="175">
        <v>0.388570424965196</v>
      </c>
      <c r="BG188" s="175">
        <v>0</v>
      </c>
      <c r="BH188" s="175">
        <v>1</v>
      </c>
      <c r="BI188" s="207">
        <v>0</v>
      </c>
      <c r="BJ188" s="207">
        <v>-4648.32</v>
      </c>
      <c r="BK188" s="207">
        <v>-79408.79999999999</v>
      </c>
      <c r="BL188" s="207">
        <v>-5423.040000000001</v>
      </c>
      <c r="BM188" s="207">
        <v>0</v>
      </c>
      <c r="BN188" s="207">
        <v>0</v>
      </c>
      <c r="BO188" s="207">
        <v>147112</v>
      </c>
      <c r="BP188" s="207">
        <v>-887034.553151037</v>
      </c>
      <c r="BQ188" s="207">
        <v>-824302.0800000001</v>
      </c>
      <c r="BR188" s="207">
        <v>-475239.0150869675</v>
      </c>
      <c r="BS188" s="207">
        <v>962488</v>
      </c>
      <c r="BT188" s="207">
        <v>315242</v>
      </c>
      <c r="BU188" s="207">
        <v>572600.7651110376</v>
      </c>
      <c r="BV188" s="207">
        <v>-261.91042154564855</v>
      </c>
      <c r="BW188" s="207">
        <v>-137431.19608466787</v>
      </c>
      <c r="BX188" s="207">
        <v>318185.54417433374</v>
      </c>
      <c r="BY188" s="207">
        <v>684278.3250537483</v>
      </c>
      <c r="BZ188" s="207">
        <v>1214601.6352733036</v>
      </c>
      <c r="CA188" s="207">
        <v>334343.7114681549</v>
      </c>
      <c r="CB188" s="207">
        <v>593427.0950155176</v>
      </c>
      <c r="CC188" s="207">
        <v>1743.12</v>
      </c>
      <c r="CD188" s="207">
        <v>26555.90911133503</v>
      </c>
      <c r="CE188" s="207">
        <v>486437.6423709887</v>
      </c>
      <c r="CF188" s="207">
        <v>-2509191.0707800486</v>
      </c>
      <c r="CG188" s="207">
        <v>767091.3083466211</v>
      </c>
      <c r="CH188" s="207">
        <v>817734.0718894402</v>
      </c>
      <c r="CI188" s="207">
        <v>0</v>
      </c>
      <c r="CJ188" s="207">
        <v>-3227175.379546586</v>
      </c>
      <c r="CK188" s="207">
        <v>-2264375</v>
      </c>
      <c r="CL188" s="207">
        <v>203282.94</v>
      </c>
      <c r="CM188" s="207">
        <v>1419108.524</v>
      </c>
      <c r="CN188" s="207">
        <v>-1215825.584</v>
      </c>
      <c r="CO188" s="207">
        <v>8857887.136323476</v>
      </c>
      <c r="CP188" s="207">
        <v>11605640.401097495</v>
      </c>
      <c r="CQ188" s="207">
        <v>19237</v>
      </c>
    </row>
    <row r="189" spans="1:95" ht="11.25">
      <c r="A189" s="207">
        <v>607</v>
      </c>
      <c r="B189" s="207" t="s">
        <v>245</v>
      </c>
      <c r="C189" s="207">
        <v>4307</v>
      </c>
      <c r="D189" s="207">
        <v>15109197.08</v>
      </c>
      <c r="E189" s="207">
        <v>7284551.187345623</v>
      </c>
      <c r="F189" s="207">
        <v>1291346.776694081</v>
      </c>
      <c r="G189" s="207">
        <v>23685095.044039704</v>
      </c>
      <c r="H189" s="207">
        <v>3664.46</v>
      </c>
      <c r="I189" s="207">
        <v>15782829.22</v>
      </c>
      <c r="J189" s="207">
        <v>7902265.824039703</v>
      </c>
      <c r="K189" s="207">
        <v>113284.38360161944</v>
      </c>
      <c r="L189" s="207">
        <v>212084.51651241595</v>
      </c>
      <c r="M189" s="207">
        <v>0</v>
      </c>
      <c r="N189" s="207">
        <v>8227634.724153739</v>
      </c>
      <c r="O189" s="207">
        <v>4913799.120349035</v>
      </c>
      <c r="P189" s="207">
        <v>13141433.844502773</v>
      </c>
      <c r="Q189" s="207">
        <v>214</v>
      </c>
      <c r="R189" s="207">
        <v>33</v>
      </c>
      <c r="S189" s="207">
        <v>243</v>
      </c>
      <c r="T189" s="207">
        <v>112</v>
      </c>
      <c r="U189" s="207">
        <v>121</v>
      </c>
      <c r="V189" s="207">
        <v>2238</v>
      </c>
      <c r="W189" s="207">
        <v>783</v>
      </c>
      <c r="X189" s="207">
        <v>410</v>
      </c>
      <c r="Y189" s="207">
        <v>153</v>
      </c>
      <c r="Z189" s="207">
        <v>3</v>
      </c>
      <c r="AA189" s="207">
        <v>0</v>
      </c>
      <c r="AB189" s="207">
        <v>4269</v>
      </c>
      <c r="AC189" s="207">
        <v>35</v>
      </c>
      <c r="AD189" s="207">
        <v>1346</v>
      </c>
      <c r="AE189" s="481">
        <v>1.431569974405081</v>
      </c>
      <c r="AF189" s="207">
        <v>7284551.187345623</v>
      </c>
      <c r="AG189" s="207" t="e">
        <v>#DIV/0!</v>
      </c>
      <c r="AH189" s="207" t="e">
        <v>#DIV/0!</v>
      </c>
      <c r="AI189" s="207" t="e">
        <v>#DIV/0!</v>
      </c>
      <c r="AJ189" s="175">
        <v>252</v>
      </c>
      <c r="AK189" s="175">
        <v>1836</v>
      </c>
      <c r="AL189" s="175">
        <v>1.4068639549608408</v>
      </c>
      <c r="AM189" s="175">
        <v>35</v>
      </c>
      <c r="AN189" s="175">
        <v>0.00812630601346645</v>
      </c>
      <c r="AO189" s="175">
        <v>0.0048452269030034535</v>
      </c>
      <c r="AP189" s="175">
        <v>0</v>
      </c>
      <c r="AQ189" s="175">
        <v>3</v>
      </c>
      <c r="AR189" s="175">
        <v>0</v>
      </c>
      <c r="AS189" s="175">
        <v>0</v>
      </c>
      <c r="AT189" s="175">
        <v>0</v>
      </c>
      <c r="AU189" s="175">
        <v>804.16</v>
      </c>
      <c r="AV189" s="175">
        <v>5.355899323517708</v>
      </c>
      <c r="AW189" s="175">
        <v>3.388884115355639</v>
      </c>
      <c r="AX189" s="175">
        <v>141</v>
      </c>
      <c r="AY189" s="175">
        <v>1138</v>
      </c>
      <c r="AZ189" s="175">
        <v>0.12390158172231985</v>
      </c>
      <c r="BA189" s="175">
        <v>0.06271774563808535</v>
      </c>
      <c r="BB189" s="175">
        <v>0</v>
      </c>
      <c r="BC189" s="207">
        <v>1194</v>
      </c>
      <c r="BD189" s="175">
        <v>1475</v>
      </c>
      <c r="BE189" s="175">
        <v>0.8094915254237288</v>
      </c>
      <c r="BF189" s="175">
        <v>0.40058464283263573</v>
      </c>
      <c r="BG189" s="175">
        <v>0</v>
      </c>
      <c r="BH189" s="175">
        <v>0</v>
      </c>
      <c r="BI189" s="207">
        <v>0</v>
      </c>
      <c r="BJ189" s="207">
        <v>-1033.68</v>
      </c>
      <c r="BK189" s="207">
        <v>-17658.699999999997</v>
      </c>
      <c r="BL189" s="207">
        <v>-1205.96</v>
      </c>
      <c r="BM189" s="207">
        <v>0</v>
      </c>
      <c r="BN189" s="207">
        <v>0</v>
      </c>
      <c r="BO189" s="207">
        <v>420601</v>
      </c>
      <c r="BP189" s="207">
        <v>-82015.38589917275</v>
      </c>
      <c r="BQ189" s="207">
        <v>-183305.92</v>
      </c>
      <c r="BR189" s="207">
        <v>80441.11767227948</v>
      </c>
      <c r="BS189" s="207">
        <v>474631</v>
      </c>
      <c r="BT189" s="207">
        <v>148166</v>
      </c>
      <c r="BU189" s="207">
        <v>409995.1621572207</v>
      </c>
      <c r="BV189" s="207">
        <v>23164.831209844506</v>
      </c>
      <c r="BW189" s="207">
        <v>70872.7202046957</v>
      </c>
      <c r="BX189" s="207">
        <v>175906.08465712712</v>
      </c>
      <c r="BY189" s="207">
        <v>265433.29563446343</v>
      </c>
      <c r="BZ189" s="207">
        <v>408578.5953259517</v>
      </c>
      <c r="CA189" s="207">
        <v>117579.48942582084</v>
      </c>
      <c r="CB189" s="207">
        <v>217648.2905222606</v>
      </c>
      <c r="CC189" s="207">
        <v>387.63</v>
      </c>
      <c r="CD189" s="207">
        <v>49282.06594615624</v>
      </c>
      <c r="CE189" s="207">
        <v>763002.9924115887</v>
      </c>
      <c r="CF189" s="207">
        <v>212084.51651241595</v>
      </c>
      <c r="CG189" s="207">
        <v>208027.24879315295</v>
      </c>
      <c r="CH189" s="207">
        <v>308057.35334896756</v>
      </c>
      <c r="CI189" s="207">
        <v>0</v>
      </c>
      <c r="CJ189" s="207">
        <v>4913799.120349035</v>
      </c>
      <c r="CK189" s="207">
        <v>-299187</v>
      </c>
      <c r="CL189" s="207">
        <v>28699.57</v>
      </c>
      <c r="CM189" s="207">
        <v>43983.284</v>
      </c>
      <c r="CN189" s="207">
        <v>-15283.714</v>
      </c>
      <c r="CO189" s="207">
        <v>12842246.844502773</v>
      </c>
      <c r="CP189" s="207">
        <v>14620765.936801836</v>
      </c>
      <c r="CQ189" s="207">
        <v>4414</v>
      </c>
    </row>
    <row r="190" spans="1:95" ht="11.25">
      <c r="A190" s="207">
        <v>608</v>
      </c>
      <c r="B190" s="207" t="s">
        <v>246</v>
      </c>
      <c r="C190" s="207">
        <v>2146</v>
      </c>
      <c r="D190" s="207">
        <v>8405380.63</v>
      </c>
      <c r="E190" s="207">
        <v>3086452.3399168653</v>
      </c>
      <c r="F190" s="207">
        <v>525526.420687771</v>
      </c>
      <c r="G190" s="207">
        <v>12017359.390604636</v>
      </c>
      <c r="H190" s="207">
        <v>3664.46</v>
      </c>
      <c r="I190" s="207">
        <v>7863931.16</v>
      </c>
      <c r="J190" s="207">
        <v>4153428.2306046356</v>
      </c>
      <c r="K190" s="207">
        <v>50201.456194331986</v>
      </c>
      <c r="L190" s="207">
        <v>-168543.29515965295</v>
      </c>
      <c r="M190" s="207">
        <v>0</v>
      </c>
      <c r="N190" s="207">
        <v>4035086.3916393146</v>
      </c>
      <c r="O190" s="207">
        <v>1904417.348975476</v>
      </c>
      <c r="P190" s="207">
        <v>5939503.7406147905</v>
      </c>
      <c r="Q190" s="207">
        <v>120</v>
      </c>
      <c r="R190" s="207">
        <v>19</v>
      </c>
      <c r="S190" s="207">
        <v>143</v>
      </c>
      <c r="T190" s="207">
        <v>70</v>
      </c>
      <c r="U190" s="207">
        <v>81</v>
      </c>
      <c r="V190" s="207">
        <v>1057</v>
      </c>
      <c r="W190" s="207">
        <v>343</v>
      </c>
      <c r="X190" s="207">
        <v>217</v>
      </c>
      <c r="Y190" s="207">
        <v>96</v>
      </c>
      <c r="Z190" s="207">
        <v>2</v>
      </c>
      <c r="AA190" s="207">
        <v>0</v>
      </c>
      <c r="AB190" s="207">
        <v>2125</v>
      </c>
      <c r="AC190" s="207">
        <v>19</v>
      </c>
      <c r="AD190" s="207">
        <v>656</v>
      </c>
      <c r="AE190" s="481">
        <v>1.2173473392363259</v>
      </c>
      <c r="AF190" s="207">
        <v>3086452.3399168653</v>
      </c>
      <c r="AG190" s="207" t="e">
        <v>#DIV/0!</v>
      </c>
      <c r="AH190" s="207" t="e">
        <v>#DIV/0!</v>
      </c>
      <c r="AI190" s="207" t="e">
        <v>#DIV/0!</v>
      </c>
      <c r="AJ190" s="175">
        <v>84</v>
      </c>
      <c r="AK190" s="175">
        <v>883</v>
      </c>
      <c r="AL190" s="175">
        <v>0.9750857762582498</v>
      </c>
      <c r="AM190" s="175">
        <v>19</v>
      </c>
      <c r="AN190" s="175">
        <v>0.008853681267474371</v>
      </c>
      <c r="AO190" s="175">
        <v>0.005572602157011375</v>
      </c>
      <c r="AP190" s="175">
        <v>0</v>
      </c>
      <c r="AQ190" s="175">
        <v>2</v>
      </c>
      <c r="AR190" s="175">
        <v>0</v>
      </c>
      <c r="AS190" s="175">
        <v>0</v>
      </c>
      <c r="AT190" s="175">
        <v>0</v>
      </c>
      <c r="AU190" s="175">
        <v>301.18</v>
      </c>
      <c r="AV190" s="175">
        <v>7.125307125307125</v>
      </c>
      <c r="AW190" s="175">
        <v>2.54733190046609</v>
      </c>
      <c r="AX190" s="175">
        <v>96</v>
      </c>
      <c r="AY190" s="175">
        <v>580</v>
      </c>
      <c r="AZ190" s="175">
        <v>0.16551724137931034</v>
      </c>
      <c r="BA190" s="175">
        <v>0.10433340529507584</v>
      </c>
      <c r="BB190" s="175">
        <v>0</v>
      </c>
      <c r="BC190" s="207">
        <v>567</v>
      </c>
      <c r="BD190" s="175">
        <v>741</v>
      </c>
      <c r="BE190" s="175">
        <v>0.7651821862348178</v>
      </c>
      <c r="BF190" s="175">
        <v>0.35627530364372473</v>
      </c>
      <c r="BG190" s="175">
        <v>0</v>
      </c>
      <c r="BH190" s="175">
        <v>0</v>
      </c>
      <c r="BI190" s="207">
        <v>0</v>
      </c>
      <c r="BJ190" s="207">
        <v>-515.04</v>
      </c>
      <c r="BK190" s="207">
        <v>-8798.599999999999</v>
      </c>
      <c r="BL190" s="207">
        <v>-600.8800000000001</v>
      </c>
      <c r="BM190" s="207">
        <v>0</v>
      </c>
      <c r="BN190" s="207">
        <v>0</v>
      </c>
      <c r="BO190" s="207">
        <v>69250</v>
      </c>
      <c r="BP190" s="207">
        <v>-60938.8023279352</v>
      </c>
      <c r="BQ190" s="207">
        <v>-91333.76000000001</v>
      </c>
      <c r="BR190" s="207">
        <v>-60503.46341793239</v>
      </c>
      <c r="BS190" s="207">
        <v>227685</v>
      </c>
      <c r="BT190" s="207">
        <v>68669</v>
      </c>
      <c r="BU190" s="207">
        <v>174137.51447144392</v>
      </c>
      <c r="BV190" s="207">
        <v>9685.854308653408</v>
      </c>
      <c r="BW190" s="207">
        <v>19472.155895094435</v>
      </c>
      <c r="BX190" s="207">
        <v>85293.42274896333</v>
      </c>
      <c r="BY190" s="207">
        <v>118840.12738225592</v>
      </c>
      <c r="BZ190" s="207">
        <v>187810.57467574356</v>
      </c>
      <c r="CA190" s="207">
        <v>47927.0629042701</v>
      </c>
      <c r="CB190" s="207">
        <v>97253.69510786733</v>
      </c>
      <c r="CC190" s="207">
        <v>193.14</v>
      </c>
      <c r="CD190" s="207">
        <v>9417.305731571021</v>
      </c>
      <c r="CE190" s="207">
        <v>126030.52716828231</v>
      </c>
      <c r="CF190" s="207">
        <v>-168543.29515965295</v>
      </c>
      <c r="CG190" s="207">
        <v>105549.00485464367</v>
      </c>
      <c r="CH190" s="207">
        <v>104282.9130875135</v>
      </c>
      <c r="CI190" s="207">
        <v>1457.7907886448863</v>
      </c>
      <c r="CJ190" s="207">
        <v>1904417.348975476</v>
      </c>
      <c r="CK190" s="207">
        <v>263043</v>
      </c>
      <c r="CL190" s="207">
        <v>49150.57000000001</v>
      </c>
      <c r="CM190" s="207">
        <v>89984.40000000001</v>
      </c>
      <c r="CN190" s="207">
        <v>-40833.83</v>
      </c>
      <c r="CO190" s="207">
        <v>6202546.7406147905</v>
      </c>
      <c r="CP190" s="207">
        <v>7072602.463733992</v>
      </c>
      <c r="CQ190" s="207">
        <v>2166</v>
      </c>
    </row>
    <row r="191" spans="1:95" ht="11.25">
      <c r="A191" s="207">
        <v>609</v>
      </c>
      <c r="B191" s="207" t="s">
        <v>247</v>
      </c>
      <c r="C191" s="207">
        <v>84403</v>
      </c>
      <c r="D191" s="207">
        <v>293032655.25</v>
      </c>
      <c r="E191" s="207">
        <v>99910175.23979342</v>
      </c>
      <c r="F191" s="207">
        <v>17745610.632253993</v>
      </c>
      <c r="G191" s="207">
        <v>410688441.1220474</v>
      </c>
      <c r="H191" s="207">
        <v>3664.46</v>
      </c>
      <c r="I191" s="207">
        <v>309291417.38</v>
      </c>
      <c r="J191" s="207">
        <v>101397023.74204743</v>
      </c>
      <c r="K191" s="207">
        <v>3538233.0700906734</v>
      </c>
      <c r="L191" s="207">
        <v>-6625154.106557211</v>
      </c>
      <c r="M191" s="207">
        <v>0</v>
      </c>
      <c r="N191" s="207">
        <v>98310102.70558089</v>
      </c>
      <c r="O191" s="207">
        <v>28961016.259138282</v>
      </c>
      <c r="P191" s="207">
        <v>127271118.96471918</v>
      </c>
      <c r="Q191" s="207">
        <v>4511</v>
      </c>
      <c r="R191" s="207">
        <v>799</v>
      </c>
      <c r="S191" s="207">
        <v>5189</v>
      </c>
      <c r="T191" s="207">
        <v>2547</v>
      </c>
      <c r="U191" s="207">
        <v>2589</v>
      </c>
      <c r="V191" s="207">
        <v>47364</v>
      </c>
      <c r="W191" s="207">
        <v>11925</v>
      </c>
      <c r="X191" s="207">
        <v>6754</v>
      </c>
      <c r="Y191" s="207">
        <v>2725</v>
      </c>
      <c r="Z191" s="207">
        <v>464</v>
      </c>
      <c r="AA191" s="207">
        <v>1</v>
      </c>
      <c r="AB191" s="207">
        <v>81101</v>
      </c>
      <c r="AC191" s="207">
        <v>2837</v>
      </c>
      <c r="AD191" s="207">
        <v>21404</v>
      </c>
      <c r="AE191" s="481">
        <v>1.0019279471674383</v>
      </c>
      <c r="AF191" s="207">
        <v>99910175.23979342</v>
      </c>
      <c r="AG191" s="207" t="e">
        <v>#DIV/0!</v>
      </c>
      <c r="AH191" s="207" t="e">
        <v>#DIV/0!</v>
      </c>
      <c r="AI191" s="207" t="e">
        <v>#DIV/0!</v>
      </c>
      <c r="AJ191" s="175">
        <v>4527</v>
      </c>
      <c r="AK191" s="175">
        <v>39137</v>
      </c>
      <c r="AL191" s="175">
        <v>1.1856245983139595</v>
      </c>
      <c r="AM191" s="175">
        <v>2837</v>
      </c>
      <c r="AN191" s="175">
        <v>0.03361254931696741</v>
      </c>
      <c r="AO191" s="175">
        <v>0.030331470206504414</v>
      </c>
      <c r="AP191" s="175">
        <v>0</v>
      </c>
      <c r="AQ191" s="175">
        <v>464</v>
      </c>
      <c r="AR191" s="175">
        <v>1</v>
      </c>
      <c r="AS191" s="175">
        <v>3</v>
      </c>
      <c r="AT191" s="175">
        <v>952</v>
      </c>
      <c r="AU191" s="175">
        <v>1155.83</v>
      </c>
      <c r="AV191" s="175">
        <v>73.02371456009968</v>
      </c>
      <c r="AW191" s="175">
        <v>0.24855654427131343</v>
      </c>
      <c r="AX191" s="175">
        <v>3233</v>
      </c>
      <c r="AY191" s="175">
        <v>24892</v>
      </c>
      <c r="AZ191" s="175">
        <v>0.12988108629278483</v>
      </c>
      <c r="BA191" s="175">
        <v>0.06869725020855033</v>
      </c>
      <c r="BB191" s="175">
        <v>0</v>
      </c>
      <c r="BC191" s="207">
        <v>33439</v>
      </c>
      <c r="BD191" s="175">
        <v>31927</v>
      </c>
      <c r="BE191" s="175">
        <v>1.0473580355185266</v>
      </c>
      <c r="BF191" s="175">
        <v>0.6384511529274335</v>
      </c>
      <c r="BG191" s="175">
        <v>0</v>
      </c>
      <c r="BH191" s="175">
        <v>1</v>
      </c>
      <c r="BI191" s="207">
        <v>0</v>
      </c>
      <c r="BJ191" s="207">
        <v>-20256.719999999998</v>
      </c>
      <c r="BK191" s="207">
        <v>-346052.3</v>
      </c>
      <c r="BL191" s="207">
        <v>-23632.840000000004</v>
      </c>
      <c r="BM191" s="207">
        <v>0</v>
      </c>
      <c r="BN191" s="207">
        <v>0</v>
      </c>
      <c r="BO191" s="207">
        <v>2961916</v>
      </c>
      <c r="BP191" s="207">
        <v>-4784598.011106214</v>
      </c>
      <c r="BQ191" s="207">
        <v>-3592191.68</v>
      </c>
      <c r="BR191" s="207">
        <v>391170.84370395355</v>
      </c>
      <c r="BS191" s="207">
        <v>5977751</v>
      </c>
      <c r="BT191" s="207">
        <v>2064395</v>
      </c>
      <c r="BU191" s="207">
        <v>4911326.570886874</v>
      </c>
      <c r="BV191" s="207">
        <v>211502.83104590638</v>
      </c>
      <c r="BW191" s="207">
        <v>284484.42643885675</v>
      </c>
      <c r="BX191" s="207">
        <v>2351587.2856159857</v>
      </c>
      <c r="BY191" s="207">
        <v>4132607.308693329</v>
      </c>
      <c r="BZ191" s="207">
        <v>6287328.97257184</v>
      </c>
      <c r="CA191" s="207">
        <v>2094464.6514643608</v>
      </c>
      <c r="CB191" s="207">
        <v>3575023.8903953033</v>
      </c>
      <c r="CC191" s="207">
        <v>7596.2699999999995</v>
      </c>
      <c r="CD191" s="207">
        <v>297061.489536478</v>
      </c>
      <c r="CE191" s="207">
        <v>7348398.514549002</v>
      </c>
      <c r="CF191" s="207">
        <v>-6625154.106557211</v>
      </c>
      <c r="CG191" s="207">
        <v>3607094.94130857</v>
      </c>
      <c r="CH191" s="207">
        <v>5066567.1342250435</v>
      </c>
      <c r="CI191" s="207">
        <v>0</v>
      </c>
      <c r="CJ191" s="207">
        <v>28961016.259138282</v>
      </c>
      <c r="CK191" s="207">
        <v>-6256864</v>
      </c>
      <c r="CL191" s="207">
        <v>1311999.82</v>
      </c>
      <c r="CM191" s="207">
        <v>4165777.3521999996</v>
      </c>
      <c r="CN191" s="207">
        <v>-2853777.5321999993</v>
      </c>
      <c r="CO191" s="207">
        <v>121014254.96471918</v>
      </c>
      <c r="CP191" s="207">
        <v>138437510.44643626</v>
      </c>
      <c r="CQ191" s="207">
        <v>84587</v>
      </c>
    </row>
    <row r="192" spans="1:95" ht="11.25">
      <c r="A192" s="207">
        <v>611</v>
      </c>
      <c r="B192" s="207" t="s">
        <v>248</v>
      </c>
      <c r="C192" s="207">
        <v>5068</v>
      </c>
      <c r="D192" s="207">
        <v>18631282.560000002</v>
      </c>
      <c r="E192" s="207">
        <v>3901549.470745291</v>
      </c>
      <c r="F192" s="207">
        <v>732865.5100773168</v>
      </c>
      <c r="G192" s="207">
        <v>23265697.54082261</v>
      </c>
      <c r="H192" s="207">
        <v>3664.46</v>
      </c>
      <c r="I192" s="207">
        <v>18571483.28</v>
      </c>
      <c r="J192" s="207">
        <v>4694214.260822609</v>
      </c>
      <c r="K192" s="207">
        <v>18318.55018281406</v>
      </c>
      <c r="L192" s="207">
        <v>-533971.5001878892</v>
      </c>
      <c r="M192" s="207">
        <v>0</v>
      </c>
      <c r="N192" s="207">
        <v>4178561.3108175336</v>
      </c>
      <c r="O192" s="207">
        <v>905181.3569169006</v>
      </c>
      <c r="P192" s="207">
        <v>5083742.667734434</v>
      </c>
      <c r="Q192" s="207">
        <v>329</v>
      </c>
      <c r="R192" s="207">
        <v>70</v>
      </c>
      <c r="S192" s="207">
        <v>483</v>
      </c>
      <c r="T192" s="207">
        <v>279</v>
      </c>
      <c r="U192" s="207">
        <v>265</v>
      </c>
      <c r="V192" s="207">
        <v>2852</v>
      </c>
      <c r="W192" s="207">
        <v>490</v>
      </c>
      <c r="X192" s="207">
        <v>215</v>
      </c>
      <c r="Y192" s="207">
        <v>85</v>
      </c>
      <c r="Z192" s="207">
        <v>122</v>
      </c>
      <c r="AA192" s="207">
        <v>0</v>
      </c>
      <c r="AB192" s="207">
        <v>4812</v>
      </c>
      <c r="AC192" s="207">
        <v>134</v>
      </c>
      <c r="AD192" s="207">
        <v>790</v>
      </c>
      <c r="AE192" s="481">
        <v>0.6516061358566436</v>
      </c>
      <c r="AF192" s="207">
        <v>3901549.470745291</v>
      </c>
      <c r="AG192" s="207" t="e">
        <v>#DIV/0!</v>
      </c>
      <c r="AH192" s="207" t="e">
        <v>#DIV/0!</v>
      </c>
      <c r="AI192" s="207" t="e">
        <v>#DIV/0!</v>
      </c>
      <c r="AJ192" s="175">
        <v>117</v>
      </c>
      <c r="AK192" s="175">
        <v>2590</v>
      </c>
      <c r="AL192" s="175">
        <v>0.4630312862245635</v>
      </c>
      <c r="AM192" s="175">
        <v>134</v>
      </c>
      <c r="AN192" s="175">
        <v>0.02644041041831097</v>
      </c>
      <c r="AO192" s="175">
        <v>0.023159331307847975</v>
      </c>
      <c r="AP192" s="175">
        <v>0</v>
      </c>
      <c r="AQ192" s="175">
        <v>122</v>
      </c>
      <c r="AR192" s="175">
        <v>0</v>
      </c>
      <c r="AS192" s="175">
        <v>0</v>
      </c>
      <c r="AT192" s="175">
        <v>0</v>
      </c>
      <c r="AU192" s="175">
        <v>146.52</v>
      </c>
      <c r="AV192" s="175">
        <v>34.58913458913459</v>
      </c>
      <c r="AW192" s="175">
        <v>0.5247463504511835</v>
      </c>
      <c r="AX192" s="175">
        <v>262</v>
      </c>
      <c r="AY192" s="175">
        <v>1777</v>
      </c>
      <c r="AZ192" s="175">
        <v>0.14743950478334272</v>
      </c>
      <c r="BA192" s="175">
        <v>0.08625566869910822</v>
      </c>
      <c r="BB192" s="175">
        <v>0</v>
      </c>
      <c r="BC192" s="207">
        <v>1107</v>
      </c>
      <c r="BD192" s="175">
        <v>2386</v>
      </c>
      <c r="BE192" s="175">
        <v>0.4639564124056999</v>
      </c>
      <c r="BF192" s="175">
        <v>0.05504952981460681</v>
      </c>
      <c r="BG192" s="175">
        <v>0</v>
      </c>
      <c r="BH192" s="175">
        <v>0</v>
      </c>
      <c r="BI192" s="207">
        <v>0</v>
      </c>
      <c r="BJ192" s="207">
        <v>-1216.32</v>
      </c>
      <c r="BK192" s="207">
        <v>-20778.8</v>
      </c>
      <c r="BL192" s="207">
        <v>-1419.0400000000002</v>
      </c>
      <c r="BM192" s="207">
        <v>0</v>
      </c>
      <c r="BN192" s="207">
        <v>0</v>
      </c>
      <c r="BO192" s="207">
        <v>-12387</v>
      </c>
      <c r="BP192" s="207">
        <v>-131605.73166157494</v>
      </c>
      <c r="BQ192" s="207">
        <v>-215694.08000000002</v>
      </c>
      <c r="BR192" s="207">
        <v>-66364.87476905528</v>
      </c>
      <c r="BS192" s="207">
        <v>383656</v>
      </c>
      <c r="BT192" s="207">
        <v>117909</v>
      </c>
      <c r="BU192" s="207">
        <v>224768.97935533107</v>
      </c>
      <c r="BV192" s="207">
        <v>-45.47227589964298</v>
      </c>
      <c r="BW192" s="207">
        <v>9676.06178048576</v>
      </c>
      <c r="BX192" s="207">
        <v>53223.876379360496</v>
      </c>
      <c r="BY192" s="207">
        <v>245023.06201938295</v>
      </c>
      <c r="BZ192" s="207">
        <v>374090.33204037865</v>
      </c>
      <c r="CA192" s="207">
        <v>101058.82328673525</v>
      </c>
      <c r="CB192" s="207">
        <v>182531.78083425</v>
      </c>
      <c r="CC192" s="207">
        <v>456.12</v>
      </c>
      <c r="CD192" s="207">
        <v>18322.164472681998</v>
      </c>
      <c r="CE192" s="207">
        <v>149387.3914736858</v>
      </c>
      <c r="CF192" s="207">
        <v>-533971.5001878892</v>
      </c>
      <c r="CG192" s="207">
        <v>204343.6617700591</v>
      </c>
      <c r="CH192" s="207">
        <v>259259.81453910682</v>
      </c>
      <c r="CI192" s="207">
        <v>0</v>
      </c>
      <c r="CJ192" s="207">
        <v>905181.3569169006</v>
      </c>
      <c r="CK192" s="207">
        <v>-1167494</v>
      </c>
      <c r="CL192" s="207">
        <v>112003.31</v>
      </c>
      <c r="CM192" s="207">
        <v>239958.40000000002</v>
      </c>
      <c r="CN192" s="207">
        <v>-127955.09000000003</v>
      </c>
      <c r="CO192" s="207">
        <v>3916248.667734434</v>
      </c>
      <c r="CP192" s="207">
        <v>5392416.481825325</v>
      </c>
      <c r="CQ192" s="207">
        <v>5121</v>
      </c>
    </row>
    <row r="193" spans="1:95" ht="11.25">
      <c r="A193" s="207">
        <v>638</v>
      </c>
      <c r="B193" s="207" t="s">
        <v>249</v>
      </c>
      <c r="C193" s="207">
        <v>50262</v>
      </c>
      <c r="D193" s="207">
        <v>173411503.10999998</v>
      </c>
      <c r="E193" s="207">
        <v>49746682.19816661</v>
      </c>
      <c r="F193" s="207">
        <v>18046686.321939755</v>
      </c>
      <c r="G193" s="207">
        <v>241204871.63010636</v>
      </c>
      <c r="H193" s="207">
        <v>3664.46</v>
      </c>
      <c r="I193" s="207">
        <v>184183088.52</v>
      </c>
      <c r="J193" s="207">
        <v>57021783.11010635</v>
      </c>
      <c r="K193" s="207">
        <v>1733795.7901251223</v>
      </c>
      <c r="L193" s="207">
        <v>-6106607.334043216</v>
      </c>
      <c r="M193" s="207">
        <v>0</v>
      </c>
      <c r="N193" s="207">
        <v>52648971.56618826</v>
      </c>
      <c r="O193" s="207">
        <v>-9192332.310278155</v>
      </c>
      <c r="P193" s="207">
        <v>43456639.255910106</v>
      </c>
      <c r="Q193" s="207">
        <v>3039</v>
      </c>
      <c r="R193" s="207">
        <v>614</v>
      </c>
      <c r="S193" s="207">
        <v>3735</v>
      </c>
      <c r="T193" s="207">
        <v>1902</v>
      </c>
      <c r="U193" s="207">
        <v>1795</v>
      </c>
      <c r="V193" s="207">
        <v>28747</v>
      </c>
      <c r="W193" s="207">
        <v>6250</v>
      </c>
      <c r="X193" s="207">
        <v>3054</v>
      </c>
      <c r="Y193" s="207">
        <v>1126</v>
      </c>
      <c r="Z193" s="207">
        <v>14672</v>
      </c>
      <c r="AA193" s="207">
        <v>0</v>
      </c>
      <c r="AB193" s="207">
        <v>32168</v>
      </c>
      <c r="AC193" s="207">
        <v>3422</v>
      </c>
      <c r="AD193" s="207">
        <v>10430</v>
      </c>
      <c r="AE193" s="481">
        <v>0.8377395300319854</v>
      </c>
      <c r="AF193" s="207">
        <v>49746682.19816661</v>
      </c>
      <c r="AG193" s="207" t="e">
        <v>#DIV/0!</v>
      </c>
      <c r="AH193" s="207" t="e">
        <v>#DIV/0!</v>
      </c>
      <c r="AI193" s="207" t="e">
        <v>#DIV/0!</v>
      </c>
      <c r="AJ193" s="175">
        <v>2038</v>
      </c>
      <c r="AK193" s="175">
        <v>24782</v>
      </c>
      <c r="AL193" s="175">
        <v>0.8429310775719697</v>
      </c>
      <c r="AM193" s="175">
        <v>3422</v>
      </c>
      <c r="AN193" s="175">
        <v>0.06808324380247503</v>
      </c>
      <c r="AO193" s="175">
        <v>0.06480216469201204</v>
      </c>
      <c r="AP193" s="175">
        <v>1</v>
      </c>
      <c r="AQ193" s="175">
        <v>14672</v>
      </c>
      <c r="AR193" s="175">
        <v>0</v>
      </c>
      <c r="AS193" s="175">
        <v>3</v>
      </c>
      <c r="AT193" s="175">
        <v>1758</v>
      </c>
      <c r="AU193" s="175">
        <v>654.42</v>
      </c>
      <c r="AV193" s="175">
        <v>76.80388741175392</v>
      </c>
      <c r="AW193" s="175">
        <v>0.23632296166997727</v>
      </c>
      <c r="AX193" s="175">
        <v>2492</v>
      </c>
      <c r="AY193" s="175">
        <v>16444</v>
      </c>
      <c r="AZ193" s="175">
        <v>0.15154463634152274</v>
      </c>
      <c r="BA193" s="175">
        <v>0.09036080025728824</v>
      </c>
      <c r="BB193" s="175">
        <v>0</v>
      </c>
      <c r="BC193" s="207">
        <v>20808</v>
      </c>
      <c r="BD193" s="175">
        <v>22272</v>
      </c>
      <c r="BE193" s="175">
        <v>0.9342672413793104</v>
      </c>
      <c r="BF193" s="175">
        <v>0.5253603587882173</v>
      </c>
      <c r="BG193" s="175">
        <v>0</v>
      </c>
      <c r="BH193" s="175">
        <v>0</v>
      </c>
      <c r="BI193" s="207">
        <v>0</v>
      </c>
      <c r="BJ193" s="207">
        <v>-12062.88</v>
      </c>
      <c r="BK193" s="207">
        <v>-206074.19999999998</v>
      </c>
      <c r="BL193" s="207">
        <v>-14073.36</v>
      </c>
      <c r="BM193" s="207">
        <v>0</v>
      </c>
      <c r="BN193" s="207">
        <v>0</v>
      </c>
      <c r="BO193" s="207">
        <v>340227</v>
      </c>
      <c r="BP193" s="207">
        <v>-2561332.0884279325</v>
      </c>
      <c r="BQ193" s="207">
        <v>-2139150.72</v>
      </c>
      <c r="BR193" s="207">
        <v>-441406.7972930819</v>
      </c>
      <c r="BS193" s="207">
        <v>3312713</v>
      </c>
      <c r="BT193" s="207">
        <v>1135672</v>
      </c>
      <c r="BU193" s="207">
        <v>2360718.5689561497</v>
      </c>
      <c r="BV193" s="207">
        <v>50410.92073674268</v>
      </c>
      <c r="BW193" s="207">
        <v>227364.6802771861</v>
      </c>
      <c r="BX193" s="207">
        <v>805241.288831554</v>
      </c>
      <c r="BY193" s="207">
        <v>2210620.0389932</v>
      </c>
      <c r="BZ193" s="207">
        <v>3474053.090596174</v>
      </c>
      <c r="CA193" s="207">
        <v>1103991.4519041427</v>
      </c>
      <c r="CB193" s="207">
        <v>1855402.0311445042</v>
      </c>
      <c r="CC193" s="207">
        <v>4523.58</v>
      </c>
      <c r="CD193" s="207">
        <v>-144867.640737931</v>
      </c>
      <c r="CE193" s="207">
        <v>1926748.6943847178</v>
      </c>
      <c r="CF193" s="207">
        <v>-6106607.334043216</v>
      </c>
      <c r="CG193" s="207">
        <v>2118513.1724157305</v>
      </c>
      <c r="CH193" s="207">
        <v>2574995.540857897</v>
      </c>
      <c r="CI193" s="207">
        <v>0</v>
      </c>
      <c r="CJ193" s="207">
        <v>-9192332.310278155</v>
      </c>
      <c r="CK193" s="207">
        <v>-2789752</v>
      </c>
      <c r="CL193" s="207">
        <v>809995.9400000001</v>
      </c>
      <c r="CM193" s="207">
        <v>1137116.5019999999</v>
      </c>
      <c r="CN193" s="207">
        <v>-327120.5619999998</v>
      </c>
      <c r="CO193" s="207">
        <v>40666887.255910106</v>
      </c>
      <c r="CP193" s="207">
        <v>51941600.33906614</v>
      </c>
      <c r="CQ193" s="207">
        <v>50159</v>
      </c>
    </row>
    <row r="194" spans="1:95" ht="11.25">
      <c r="A194" s="207">
        <v>614</v>
      </c>
      <c r="B194" s="207" t="s">
        <v>250</v>
      </c>
      <c r="C194" s="207">
        <v>3237</v>
      </c>
      <c r="D194" s="207">
        <v>10969893.940000001</v>
      </c>
      <c r="E194" s="207">
        <v>6677262.119092124</v>
      </c>
      <c r="F194" s="207">
        <v>2847394.7844860484</v>
      </c>
      <c r="G194" s="207">
        <v>20494550.843578175</v>
      </c>
      <c r="H194" s="207">
        <v>3664.46</v>
      </c>
      <c r="I194" s="207">
        <v>11861857.02</v>
      </c>
      <c r="J194" s="207">
        <v>8632693.823578175</v>
      </c>
      <c r="K194" s="207">
        <v>3299180.838428488</v>
      </c>
      <c r="L194" s="207">
        <v>-290537.04198844556</v>
      </c>
      <c r="M194" s="207">
        <v>0</v>
      </c>
      <c r="N194" s="207">
        <v>11641337.620018218</v>
      </c>
      <c r="O194" s="207">
        <v>3665856.960704062</v>
      </c>
      <c r="P194" s="207">
        <v>15307194.58072228</v>
      </c>
      <c r="Q194" s="207">
        <v>88</v>
      </c>
      <c r="R194" s="207">
        <v>19</v>
      </c>
      <c r="S194" s="207">
        <v>128</v>
      </c>
      <c r="T194" s="207">
        <v>80</v>
      </c>
      <c r="U194" s="207">
        <v>91</v>
      </c>
      <c r="V194" s="207">
        <v>1601</v>
      </c>
      <c r="W194" s="207">
        <v>712</v>
      </c>
      <c r="X194" s="207">
        <v>399</v>
      </c>
      <c r="Y194" s="207">
        <v>119</v>
      </c>
      <c r="Z194" s="207">
        <v>4</v>
      </c>
      <c r="AA194" s="207">
        <v>0</v>
      </c>
      <c r="AB194" s="207">
        <v>3200</v>
      </c>
      <c r="AC194" s="207">
        <v>33</v>
      </c>
      <c r="AD194" s="207">
        <v>1230</v>
      </c>
      <c r="AE194" s="481">
        <v>1.7459844800420388</v>
      </c>
      <c r="AF194" s="207">
        <v>6677262.119092124</v>
      </c>
      <c r="AG194" s="207" t="e">
        <v>#DIV/0!</v>
      </c>
      <c r="AH194" s="207" t="e">
        <v>#DIV/0!</v>
      </c>
      <c r="AI194" s="207" t="e">
        <v>#DIV/0!</v>
      </c>
      <c r="AJ194" s="175">
        <v>200</v>
      </c>
      <c r="AK194" s="175">
        <v>1361</v>
      </c>
      <c r="AL194" s="175">
        <v>1.5062467031175162</v>
      </c>
      <c r="AM194" s="175">
        <v>33</v>
      </c>
      <c r="AN194" s="175">
        <v>0.010194624652455977</v>
      </c>
      <c r="AO194" s="175">
        <v>0.006913545541992981</v>
      </c>
      <c r="AP194" s="175">
        <v>0</v>
      </c>
      <c r="AQ194" s="175">
        <v>4</v>
      </c>
      <c r="AR194" s="175">
        <v>0</v>
      </c>
      <c r="AS194" s="175">
        <v>0</v>
      </c>
      <c r="AT194" s="175">
        <v>0</v>
      </c>
      <c r="AU194" s="175">
        <v>3039.79</v>
      </c>
      <c r="AV194" s="175">
        <v>1.0648761921053758</v>
      </c>
      <c r="AW194" s="175">
        <v>17.04472526991858</v>
      </c>
      <c r="AX194" s="175">
        <v>141</v>
      </c>
      <c r="AY194" s="175">
        <v>809</v>
      </c>
      <c r="AZ194" s="175">
        <v>0.17428924598269468</v>
      </c>
      <c r="BA194" s="175">
        <v>0.11310540989846019</v>
      </c>
      <c r="BB194" s="175">
        <v>1.520966</v>
      </c>
      <c r="BC194" s="207">
        <v>925</v>
      </c>
      <c r="BD194" s="175">
        <v>1030</v>
      </c>
      <c r="BE194" s="175">
        <v>0.8980582524271845</v>
      </c>
      <c r="BF194" s="175">
        <v>0.4891513698360914</v>
      </c>
      <c r="BG194" s="175">
        <v>0</v>
      </c>
      <c r="BH194" s="175">
        <v>0</v>
      </c>
      <c r="BI194" s="207">
        <v>0</v>
      </c>
      <c r="BJ194" s="207">
        <v>-776.88</v>
      </c>
      <c r="BK194" s="207">
        <v>-13271.699999999999</v>
      </c>
      <c r="BL194" s="207">
        <v>-906.3600000000001</v>
      </c>
      <c r="BM194" s="207">
        <v>0</v>
      </c>
      <c r="BN194" s="207">
        <v>0</v>
      </c>
      <c r="BO194" s="207">
        <v>73754</v>
      </c>
      <c r="BP194" s="207">
        <v>-33850.720374027005</v>
      </c>
      <c r="BQ194" s="207">
        <v>-137766.72</v>
      </c>
      <c r="BR194" s="207">
        <v>-161676.7909724284</v>
      </c>
      <c r="BS194" s="207">
        <v>388225</v>
      </c>
      <c r="BT194" s="207">
        <v>132356</v>
      </c>
      <c r="BU194" s="207">
        <v>346191.88857336773</v>
      </c>
      <c r="BV194" s="207">
        <v>20772.919122280637</v>
      </c>
      <c r="BW194" s="207">
        <v>57066.91880422467</v>
      </c>
      <c r="BX194" s="207">
        <v>160530.7477414575</v>
      </c>
      <c r="BY194" s="207">
        <v>211708.16998792533</v>
      </c>
      <c r="BZ194" s="207">
        <v>327515.5728103581</v>
      </c>
      <c r="CA194" s="207">
        <v>96131.70210940945</v>
      </c>
      <c r="CB194" s="207">
        <v>174842.47341730597</v>
      </c>
      <c r="CC194" s="207">
        <v>291.33</v>
      </c>
      <c r="CD194" s="207">
        <v>148.1429349255268</v>
      </c>
      <c r="CE194" s="207">
        <v>95725.86838558145</v>
      </c>
      <c r="CF194" s="207">
        <v>-290537.04198844556</v>
      </c>
      <c r="CG194" s="207">
        <v>180004.55642308432</v>
      </c>
      <c r="CH194" s="207">
        <v>239747.28490866363</v>
      </c>
      <c r="CI194" s="207">
        <v>0</v>
      </c>
      <c r="CJ194" s="207">
        <v>3665856.960704062</v>
      </c>
      <c r="CK194" s="207">
        <v>35617</v>
      </c>
      <c r="CL194" s="207">
        <v>32789.770000000004</v>
      </c>
      <c r="CM194" s="207">
        <v>77713.8</v>
      </c>
      <c r="CN194" s="207">
        <v>-44924.03</v>
      </c>
      <c r="CO194" s="207">
        <v>15342811.58072228</v>
      </c>
      <c r="CP194" s="207">
        <v>16639273.569899028</v>
      </c>
      <c r="CQ194" s="207">
        <v>3310</v>
      </c>
    </row>
    <row r="195" spans="1:95" ht="11.25">
      <c r="A195" s="207">
        <v>615</v>
      </c>
      <c r="B195" s="207" t="s">
        <v>251</v>
      </c>
      <c r="C195" s="207">
        <v>7990</v>
      </c>
      <c r="D195" s="207">
        <v>31192574.33</v>
      </c>
      <c r="E195" s="207">
        <v>14749871.32924583</v>
      </c>
      <c r="F195" s="207">
        <v>5603877.142494445</v>
      </c>
      <c r="G195" s="207">
        <v>51546322.801740274</v>
      </c>
      <c r="H195" s="207">
        <v>3664.46</v>
      </c>
      <c r="I195" s="207">
        <v>29279035.4</v>
      </c>
      <c r="J195" s="207">
        <v>22267287.401740275</v>
      </c>
      <c r="K195" s="207">
        <v>3977175.6495575923</v>
      </c>
      <c r="L195" s="207">
        <v>-625695.7782170066</v>
      </c>
      <c r="M195" s="207">
        <v>0</v>
      </c>
      <c r="N195" s="207">
        <v>25618767.27308086</v>
      </c>
      <c r="O195" s="207">
        <v>8414908.158070385</v>
      </c>
      <c r="P195" s="207">
        <v>34033675.43115124</v>
      </c>
      <c r="Q195" s="207">
        <v>457</v>
      </c>
      <c r="R195" s="207">
        <v>89</v>
      </c>
      <c r="S195" s="207">
        <v>547</v>
      </c>
      <c r="T195" s="207">
        <v>293</v>
      </c>
      <c r="U195" s="207">
        <v>284</v>
      </c>
      <c r="V195" s="207">
        <v>3890</v>
      </c>
      <c r="W195" s="207">
        <v>1292</v>
      </c>
      <c r="X195" s="207">
        <v>827</v>
      </c>
      <c r="Y195" s="207">
        <v>311</v>
      </c>
      <c r="Z195" s="207">
        <v>9</v>
      </c>
      <c r="AA195" s="207">
        <v>3</v>
      </c>
      <c r="AB195" s="207">
        <v>7808</v>
      </c>
      <c r="AC195" s="207">
        <v>170</v>
      </c>
      <c r="AD195" s="207">
        <v>2430</v>
      </c>
      <c r="AE195" s="481">
        <v>1.5625218739605715</v>
      </c>
      <c r="AF195" s="207">
        <v>14749871.32924583</v>
      </c>
      <c r="AG195" s="207" t="e">
        <v>#DIV/0!</v>
      </c>
      <c r="AH195" s="207" t="e">
        <v>#DIV/0!</v>
      </c>
      <c r="AI195" s="207" t="e">
        <v>#DIV/0!</v>
      </c>
      <c r="AJ195" s="175">
        <v>383</v>
      </c>
      <c r="AK195" s="175">
        <v>3113</v>
      </c>
      <c r="AL195" s="175">
        <v>1.2610836415148503</v>
      </c>
      <c r="AM195" s="175">
        <v>170</v>
      </c>
      <c r="AN195" s="175">
        <v>0.02127659574468085</v>
      </c>
      <c r="AO195" s="175">
        <v>0.017995516634217855</v>
      </c>
      <c r="AP195" s="175">
        <v>0</v>
      </c>
      <c r="AQ195" s="175">
        <v>9</v>
      </c>
      <c r="AR195" s="175">
        <v>3</v>
      </c>
      <c r="AS195" s="175">
        <v>0</v>
      </c>
      <c r="AT195" s="175">
        <v>0</v>
      </c>
      <c r="AU195" s="175">
        <v>5638.16</v>
      </c>
      <c r="AV195" s="175">
        <v>1.417128992437249</v>
      </c>
      <c r="AW195" s="175">
        <v>12.807953431040177</v>
      </c>
      <c r="AX195" s="175">
        <v>298</v>
      </c>
      <c r="AY195" s="175">
        <v>1939</v>
      </c>
      <c r="AZ195" s="175">
        <v>0.15368746776689016</v>
      </c>
      <c r="BA195" s="175">
        <v>0.09250363168265566</v>
      </c>
      <c r="BB195" s="175">
        <v>1.418383</v>
      </c>
      <c r="BC195" s="207">
        <v>2475</v>
      </c>
      <c r="BD195" s="175">
        <v>2525</v>
      </c>
      <c r="BE195" s="175">
        <v>0.9801980198019802</v>
      </c>
      <c r="BF195" s="175">
        <v>0.5712911372108871</v>
      </c>
      <c r="BG195" s="175">
        <v>0</v>
      </c>
      <c r="BH195" s="175">
        <v>3</v>
      </c>
      <c r="BI195" s="207">
        <v>0</v>
      </c>
      <c r="BJ195" s="207">
        <v>-1917.6</v>
      </c>
      <c r="BK195" s="207">
        <v>-32758.999999999996</v>
      </c>
      <c r="BL195" s="207">
        <v>-2237.2000000000003</v>
      </c>
      <c r="BM195" s="207">
        <v>0</v>
      </c>
      <c r="BN195" s="207">
        <v>0</v>
      </c>
      <c r="BO195" s="207">
        <v>420717</v>
      </c>
      <c r="BP195" s="207">
        <v>-158914.9336025585</v>
      </c>
      <c r="BQ195" s="207">
        <v>-340054.4</v>
      </c>
      <c r="BR195" s="207">
        <v>-466887.4905638397</v>
      </c>
      <c r="BS195" s="207">
        <v>805732</v>
      </c>
      <c r="BT195" s="207">
        <v>241095</v>
      </c>
      <c r="BU195" s="207">
        <v>688020.9831289338</v>
      </c>
      <c r="BV195" s="207">
        <v>36509.242249512936</v>
      </c>
      <c r="BW195" s="207">
        <v>95626.54889223831</v>
      </c>
      <c r="BX195" s="207">
        <v>348466.6260850866</v>
      </c>
      <c r="BY195" s="207">
        <v>455622.06844321423</v>
      </c>
      <c r="BZ195" s="207">
        <v>656757.2029113228</v>
      </c>
      <c r="CA195" s="207">
        <v>192948.82523202122</v>
      </c>
      <c r="CB195" s="207">
        <v>373608.3753078873</v>
      </c>
      <c r="CC195" s="207">
        <v>719.1</v>
      </c>
      <c r="CD195" s="207">
        <v>-12101.911986603023</v>
      </c>
      <c r="CE195" s="207">
        <v>403090.455385552</v>
      </c>
      <c r="CF195" s="207">
        <v>-625695.7782170066</v>
      </c>
      <c r="CG195" s="207">
        <v>452733.6579359948</v>
      </c>
      <c r="CH195" s="207">
        <v>533400.6720745492</v>
      </c>
      <c r="CI195" s="207">
        <v>0</v>
      </c>
      <c r="CJ195" s="207">
        <v>8414908.158070385</v>
      </c>
      <c r="CK195" s="207">
        <v>-145749</v>
      </c>
      <c r="CL195" s="207">
        <v>62716.4</v>
      </c>
      <c r="CM195" s="207">
        <v>39606.770000000004</v>
      </c>
      <c r="CN195" s="207">
        <v>23109.629999999997</v>
      </c>
      <c r="CO195" s="207">
        <v>33887926.43115124</v>
      </c>
      <c r="CP195" s="207">
        <v>35759489.87830198</v>
      </c>
      <c r="CQ195" s="207">
        <v>8103</v>
      </c>
    </row>
    <row r="196" spans="1:95" ht="11.25">
      <c r="A196" s="207">
        <v>616</v>
      </c>
      <c r="B196" s="207" t="s">
        <v>252</v>
      </c>
      <c r="C196" s="207">
        <v>1899</v>
      </c>
      <c r="D196" s="207">
        <v>6738697.75</v>
      </c>
      <c r="E196" s="207">
        <v>1846184.0195140466</v>
      </c>
      <c r="F196" s="207">
        <v>444798.4076921265</v>
      </c>
      <c r="G196" s="207">
        <v>9029680.177206174</v>
      </c>
      <c r="H196" s="207">
        <v>3664.46</v>
      </c>
      <c r="I196" s="207">
        <v>6958809.54</v>
      </c>
      <c r="J196" s="207">
        <v>2070870.6372061735</v>
      </c>
      <c r="K196" s="207">
        <v>19048.608289752476</v>
      </c>
      <c r="L196" s="207">
        <v>-150352.833035055</v>
      </c>
      <c r="M196" s="207">
        <v>0</v>
      </c>
      <c r="N196" s="207">
        <v>1939566.4124608708</v>
      </c>
      <c r="O196" s="207">
        <v>1159379.4430281273</v>
      </c>
      <c r="P196" s="207">
        <v>3098945.855488998</v>
      </c>
      <c r="Q196" s="207">
        <v>112</v>
      </c>
      <c r="R196" s="207">
        <v>20</v>
      </c>
      <c r="S196" s="207">
        <v>135</v>
      </c>
      <c r="T196" s="207">
        <v>71</v>
      </c>
      <c r="U196" s="207">
        <v>72</v>
      </c>
      <c r="V196" s="207">
        <v>1057</v>
      </c>
      <c r="W196" s="207">
        <v>242</v>
      </c>
      <c r="X196" s="207">
        <v>139</v>
      </c>
      <c r="Y196" s="207">
        <v>51</v>
      </c>
      <c r="Z196" s="207">
        <v>18</v>
      </c>
      <c r="AA196" s="207">
        <v>0</v>
      </c>
      <c r="AB196" s="207">
        <v>1823</v>
      </c>
      <c r="AC196" s="207">
        <v>58</v>
      </c>
      <c r="AD196" s="207">
        <v>432</v>
      </c>
      <c r="AE196" s="481">
        <v>0.8228765308425241</v>
      </c>
      <c r="AF196" s="207">
        <v>1846184.0195140466</v>
      </c>
      <c r="AG196" s="207" t="e">
        <v>#DIV/0!</v>
      </c>
      <c r="AH196" s="207" t="e">
        <v>#DIV/0!</v>
      </c>
      <c r="AI196" s="207" t="e">
        <v>#DIV/0!</v>
      </c>
      <c r="AJ196" s="175">
        <v>85</v>
      </c>
      <c r="AK196" s="175">
        <v>935</v>
      </c>
      <c r="AL196" s="175">
        <v>0.9318189831558816</v>
      </c>
      <c r="AM196" s="175">
        <v>58</v>
      </c>
      <c r="AN196" s="175">
        <v>0.030542390731964193</v>
      </c>
      <c r="AO196" s="175">
        <v>0.027261311621501198</v>
      </c>
      <c r="AP196" s="175">
        <v>0</v>
      </c>
      <c r="AQ196" s="175">
        <v>18</v>
      </c>
      <c r="AR196" s="175">
        <v>0</v>
      </c>
      <c r="AS196" s="175">
        <v>0</v>
      </c>
      <c r="AT196" s="175">
        <v>0</v>
      </c>
      <c r="AU196" s="175">
        <v>145.03</v>
      </c>
      <c r="AV196" s="175">
        <v>13.093842653244156</v>
      </c>
      <c r="AW196" s="175">
        <v>1.3861875861488349</v>
      </c>
      <c r="AX196" s="175">
        <v>97</v>
      </c>
      <c r="AY196" s="175">
        <v>617</v>
      </c>
      <c r="AZ196" s="175">
        <v>0.15721231766612642</v>
      </c>
      <c r="BA196" s="175">
        <v>0.09602848158189192</v>
      </c>
      <c r="BB196" s="175">
        <v>0</v>
      </c>
      <c r="BC196" s="207">
        <v>469</v>
      </c>
      <c r="BD196" s="175">
        <v>835</v>
      </c>
      <c r="BE196" s="175">
        <v>0.5616766467065868</v>
      </c>
      <c r="BF196" s="175">
        <v>0.1527697641154937</v>
      </c>
      <c r="BG196" s="175">
        <v>0</v>
      </c>
      <c r="BH196" s="175">
        <v>0</v>
      </c>
      <c r="BI196" s="207">
        <v>0</v>
      </c>
      <c r="BJ196" s="207">
        <v>-455.76</v>
      </c>
      <c r="BK196" s="207">
        <v>-7785.9</v>
      </c>
      <c r="BL196" s="207">
        <v>-531.72</v>
      </c>
      <c r="BM196" s="207">
        <v>0</v>
      </c>
      <c r="BN196" s="207">
        <v>0</v>
      </c>
      <c r="BO196" s="207">
        <v>3269</v>
      </c>
      <c r="BP196" s="207">
        <v>-73314.2288776899</v>
      </c>
      <c r="BQ196" s="207">
        <v>-80821.44</v>
      </c>
      <c r="BR196" s="207">
        <v>50486.45994817</v>
      </c>
      <c r="BS196" s="207">
        <v>169950</v>
      </c>
      <c r="BT196" s="207">
        <v>60269</v>
      </c>
      <c r="BU196" s="207">
        <v>134916.29841328936</v>
      </c>
      <c r="BV196" s="207">
        <v>5613.310900917095</v>
      </c>
      <c r="BW196" s="207">
        <v>26742.79937552646</v>
      </c>
      <c r="BX196" s="207">
        <v>40079.038482578464</v>
      </c>
      <c r="BY196" s="207">
        <v>126662.72441790301</v>
      </c>
      <c r="BZ196" s="207">
        <v>192233.72481729407</v>
      </c>
      <c r="CA196" s="207">
        <v>54526.841074924756</v>
      </c>
      <c r="CB196" s="207">
        <v>91988.06653750643</v>
      </c>
      <c r="CC196" s="207">
        <v>170.91</v>
      </c>
      <c r="CD196" s="207">
        <v>-5408.938842098967</v>
      </c>
      <c r="CE196" s="207">
        <v>129705.52584263493</v>
      </c>
      <c r="CF196" s="207">
        <v>-150352.833035055</v>
      </c>
      <c r="CG196" s="207">
        <v>79308.08473656389</v>
      </c>
      <c r="CH196" s="207">
        <v>125710.35063684822</v>
      </c>
      <c r="CI196" s="207">
        <v>0</v>
      </c>
      <c r="CJ196" s="207">
        <v>1159379.4430281273</v>
      </c>
      <c r="CK196" s="207">
        <v>-463714</v>
      </c>
      <c r="CL196" s="207">
        <v>27268</v>
      </c>
      <c r="CM196" s="207">
        <v>831673.9999999999</v>
      </c>
      <c r="CN196" s="207">
        <v>-804405.9999999999</v>
      </c>
      <c r="CO196" s="207">
        <v>2635231.855488998</v>
      </c>
      <c r="CP196" s="207">
        <v>3569522.931447014</v>
      </c>
      <c r="CQ196" s="207">
        <v>1940</v>
      </c>
    </row>
    <row r="197" spans="1:95" ht="11.25">
      <c r="A197" s="207">
        <v>619</v>
      </c>
      <c r="B197" s="207" t="s">
        <v>253</v>
      </c>
      <c r="C197" s="207">
        <v>2896</v>
      </c>
      <c r="D197" s="207">
        <v>11778396.41</v>
      </c>
      <c r="E197" s="207">
        <v>4249534.381242316</v>
      </c>
      <c r="F197" s="207">
        <v>710829.923442377</v>
      </c>
      <c r="G197" s="207">
        <v>16738760.714684693</v>
      </c>
      <c r="H197" s="207">
        <v>3664.46</v>
      </c>
      <c r="I197" s="207">
        <v>10612276.16</v>
      </c>
      <c r="J197" s="207">
        <v>6126484.554684693</v>
      </c>
      <c r="K197" s="207">
        <v>84924.86735741074</v>
      </c>
      <c r="L197" s="207">
        <v>-114161.14102993783</v>
      </c>
      <c r="M197" s="207">
        <v>0</v>
      </c>
      <c r="N197" s="207">
        <v>6097248.281012165</v>
      </c>
      <c r="O197" s="207">
        <v>2903522.1925908076</v>
      </c>
      <c r="P197" s="207">
        <v>9000770.473602973</v>
      </c>
      <c r="Q197" s="207">
        <v>124</v>
      </c>
      <c r="R197" s="207">
        <v>23</v>
      </c>
      <c r="S197" s="207">
        <v>166</v>
      </c>
      <c r="T197" s="207">
        <v>99</v>
      </c>
      <c r="U197" s="207">
        <v>88</v>
      </c>
      <c r="V197" s="207">
        <v>1426</v>
      </c>
      <c r="W197" s="207">
        <v>484</v>
      </c>
      <c r="X197" s="207">
        <v>312</v>
      </c>
      <c r="Y197" s="207">
        <v>174</v>
      </c>
      <c r="Z197" s="207">
        <v>4</v>
      </c>
      <c r="AA197" s="207">
        <v>0</v>
      </c>
      <c r="AB197" s="207">
        <v>2793</v>
      </c>
      <c r="AC197" s="207">
        <v>99</v>
      </c>
      <c r="AD197" s="207">
        <v>970</v>
      </c>
      <c r="AE197" s="481">
        <v>1.2420167222534382</v>
      </c>
      <c r="AF197" s="207">
        <v>4249534.381242316</v>
      </c>
      <c r="AG197" s="207" t="e">
        <v>#DIV/0!</v>
      </c>
      <c r="AH197" s="207" t="e">
        <v>#DIV/0!</v>
      </c>
      <c r="AI197" s="207" t="e">
        <v>#DIV/0!</v>
      </c>
      <c r="AJ197" s="175">
        <v>62</v>
      </c>
      <c r="AK197" s="175">
        <v>1199</v>
      </c>
      <c r="AL197" s="175">
        <v>0.5300254766574739</v>
      </c>
      <c r="AM197" s="175">
        <v>99</v>
      </c>
      <c r="AN197" s="175">
        <v>0.03418508287292818</v>
      </c>
      <c r="AO197" s="175">
        <v>0.030904003762465184</v>
      </c>
      <c r="AP197" s="175">
        <v>0</v>
      </c>
      <c r="AQ197" s="175">
        <v>4</v>
      </c>
      <c r="AR197" s="175">
        <v>0</v>
      </c>
      <c r="AS197" s="175">
        <v>0</v>
      </c>
      <c r="AT197" s="175">
        <v>0</v>
      </c>
      <c r="AU197" s="175">
        <v>361.08</v>
      </c>
      <c r="AV197" s="175">
        <v>8.020383294560762</v>
      </c>
      <c r="AW197" s="175">
        <v>2.2630492177627515</v>
      </c>
      <c r="AX197" s="175">
        <v>130</v>
      </c>
      <c r="AY197" s="175">
        <v>758</v>
      </c>
      <c r="AZ197" s="175">
        <v>0.17150395778364116</v>
      </c>
      <c r="BA197" s="175">
        <v>0.11032012169940666</v>
      </c>
      <c r="BB197" s="175">
        <v>0</v>
      </c>
      <c r="BC197" s="207">
        <v>906</v>
      </c>
      <c r="BD197" s="175">
        <v>1059</v>
      </c>
      <c r="BE197" s="175">
        <v>0.8555240793201133</v>
      </c>
      <c r="BF197" s="175">
        <v>0.4466171967290202</v>
      </c>
      <c r="BG197" s="175">
        <v>0</v>
      </c>
      <c r="BH197" s="175">
        <v>0</v>
      </c>
      <c r="BI197" s="207">
        <v>0</v>
      </c>
      <c r="BJ197" s="207">
        <v>-695.04</v>
      </c>
      <c r="BK197" s="207">
        <v>-11873.599999999999</v>
      </c>
      <c r="BL197" s="207">
        <v>-810.8800000000001</v>
      </c>
      <c r="BM197" s="207">
        <v>0</v>
      </c>
      <c r="BN197" s="207">
        <v>0</v>
      </c>
      <c r="BO197" s="207">
        <v>-2031</v>
      </c>
      <c r="BP197" s="207">
        <v>-109595.0743598833</v>
      </c>
      <c r="BQ197" s="207">
        <v>-123253.76000000001</v>
      </c>
      <c r="BR197" s="207">
        <v>164582.84655112214</v>
      </c>
      <c r="BS197" s="207">
        <v>336617</v>
      </c>
      <c r="BT197" s="207">
        <v>105974</v>
      </c>
      <c r="BU197" s="207">
        <v>275176.4261463324</v>
      </c>
      <c r="BV197" s="207">
        <v>17270.633688822705</v>
      </c>
      <c r="BW197" s="207">
        <v>36750.65009825855</v>
      </c>
      <c r="BX197" s="207">
        <v>126163.3288833969</v>
      </c>
      <c r="BY197" s="207">
        <v>187520.19939022846</v>
      </c>
      <c r="BZ197" s="207">
        <v>296557.1127692157</v>
      </c>
      <c r="CA197" s="207">
        <v>89942.95135549175</v>
      </c>
      <c r="CB197" s="207">
        <v>155477.05861407673</v>
      </c>
      <c r="CC197" s="207">
        <v>260.64</v>
      </c>
      <c r="CD197" s="207">
        <v>-1975.3570111791305</v>
      </c>
      <c r="CE197" s="207">
        <v>310721.4533299455</v>
      </c>
      <c r="CF197" s="207">
        <v>-114161.14102993783</v>
      </c>
      <c r="CG197" s="207">
        <v>147017.28379000252</v>
      </c>
      <c r="CH197" s="207">
        <v>221298.87009488174</v>
      </c>
      <c r="CI197" s="207">
        <v>0</v>
      </c>
      <c r="CJ197" s="207">
        <v>2903522.1925908076</v>
      </c>
      <c r="CK197" s="207">
        <v>-138361</v>
      </c>
      <c r="CL197" s="207">
        <v>223597.60000000003</v>
      </c>
      <c r="CM197" s="207">
        <v>50445.8</v>
      </c>
      <c r="CN197" s="207">
        <v>173151.80000000005</v>
      </c>
      <c r="CO197" s="207">
        <v>8862409.473602973</v>
      </c>
      <c r="CP197" s="207">
        <v>9871848.55817774</v>
      </c>
      <c r="CQ197" s="207">
        <v>2949</v>
      </c>
    </row>
    <row r="198" spans="1:95" ht="11.25">
      <c r="A198" s="207">
        <v>620</v>
      </c>
      <c r="B198" s="207" t="s">
        <v>254</v>
      </c>
      <c r="C198" s="207">
        <v>2597</v>
      </c>
      <c r="D198" s="207">
        <v>9282718.73</v>
      </c>
      <c r="E198" s="207">
        <v>5776269.488529022</v>
      </c>
      <c r="F198" s="207">
        <v>2347028.4069437645</v>
      </c>
      <c r="G198" s="207">
        <v>17406016.625472788</v>
      </c>
      <c r="H198" s="207">
        <v>3664.46</v>
      </c>
      <c r="I198" s="207">
        <v>9516602.62</v>
      </c>
      <c r="J198" s="207">
        <v>7889414.005472789</v>
      </c>
      <c r="K198" s="207">
        <v>2928036.1109565455</v>
      </c>
      <c r="L198" s="207">
        <v>-165336.12668173562</v>
      </c>
      <c r="M198" s="207">
        <v>0</v>
      </c>
      <c r="N198" s="207">
        <v>10652113.989747599</v>
      </c>
      <c r="O198" s="207">
        <v>2341458.6681381855</v>
      </c>
      <c r="P198" s="207">
        <v>12993572.657885784</v>
      </c>
      <c r="Q198" s="207">
        <v>71</v>
      </c>
      <c r="R198" s="207">
        <v>13</v>
      </c>
      <c r="S198" s="207">
        <v>119</v>
      </c>
      <c r="T198" s="207">
        <v>60</v>
      </c>
      <c r="U198" s="207">
        <v>63</v>
      </c>
      <c r="V198" s="207">
        <v>1300</v>
      </c>
      <c r="W198" s="207">
        <v>557</v>
      </c>
      <c r="X198" s="207">
        <v>283</v>
      </c>
      <c r="Y198" s="207">
        <v>131</v>
      </c>
      <c r="Z198" s="207">
        <v>4</v>
      </c>
      <c r="AA198" s="207">
        <v>0</v>
      </c>
      <c r="AB198" s="207">
        <v>2548</v>
      </c>
      <c r="AC198" s="207">
        <v>45</v>
      </c>
      <c r="AD198" s="207">
        <v>971</v>
      </c>
      <c r="AE198" s="481">
        <v>1.882609086632537</v>
      </c>
      <c r="AF198" s="207">
        <v>5776269.488529022</v>
      </c>
      <c r="AG198" s="207" t="e">
        <v>#DIV/0!</v>
      </c>
      <c r="AH198" s="207" t="e">
        <v>#DIV/0!</v>
      </c>
      <c r="AI198" s="207" t="e">
        <v>#DIV/0!</v>
      </c>
      <c r="AJ198" s="175">
        <v>147</v>
      </c>
      <c r="AK198" s="175">
        <v>1024</v>
      </c>
      <c r="AL198" s="175">
        <v>1.4714368122686137</v>
      </c>
      <c r="AM198" s="175">
        <v>45</v>
      </c>
      <c r="AN198" s="175">
        <v>0.01732768579129765</v>
      </c>
      <c r="AO198" s="175">
        <v>0.014046606680834656</v>
      </c>
      <c r="AP198" s="175">
        <v>0</v>
      </c>
      <c r="AQ198" s="175">
        <v>4</v>
      </c>
      <c r="AR198" s="175">
        <v>0</v>
      </c>
      <c r="AS198" s="175">
        <v>0</v>
      </c>
      <c r="AT198" s="175">
        <v>0</v>
      </c>
      <c r="AU198" s="175">
        <v>2461.3</v>
      </c>
      <c r="AV198" s="175">
        <v>1.055133466054524</v>
      </c>
      <c r="AW198" s="175">
        <v>17.20211018306877</v>
      </c>
      <c r="AX198" s="175">
        <v>120</v>
      </c>
      <c r="AY198" s="175">
        <v>628</v>
      </c>
      <c r="AZ198" s="175">
        <v>0.1910828025477707</v>
      </c>
      <c r="BA198" s="175">
        <v>0.12989896646353621</v>
      </c>
      <c r="BB198" s="175">
        <v>1.683249</v>
      </c>
      <c r="BC198" s="207">
        <v>775</v>
      </c>
      <c r="BD198" s="175">
        <v>822</v>
      </c>
      <c r="BE198" s="175">
        <v>0.9428223844282239</v>
      </c>
      <c r="BF198" s="175">
        <v>0.5339155018371308</v>
      </c>
      <c r="BG198" s="175">
        <v>0</v>
      </c>
      <c r="BH198" s="175">
        <v>0</v>
      </c>
      <c r="BI198" s="207">
        <v>0</v>
      </c>
      <c r="BJ198" s="207">
        <v>-623.28</v>
      </c>
      <c r="BK198" s="207">
        <v>-10647.699999999999</v>
      </c>
      <c r="BL198" s="207">
        <v>-727.1600000000001</v>
      </c>
      <c r="BM198" s="207">
        <v>0</v>
      </c>
      <c r="BN198" s="207">
        <v>0</v>
      </c>
      <c r="BO198" s="207">
        <v>133095</v>
      </c>
      <c r="BP198" s="207">
        <v>-64058.72844054847</v>
      </c>
      <c r="BQ198" s="207">
        <v>-110528.32</v>
      </c>
      <c r="BR198" s="207">
        <v>-69019.54834536463</v>
      </c>
      <c r="BS198" s="207">
        <v>322815</v>
      </c>
      <c r="BT198" s="207">
        <v>97700</v>
      </c>
      <c r="BU198" s="207">
        <v>244790.15556027857</v>
      </c>
      <c r="BV198" s="207">
        <v>14632.251434991533</v>
      </c>
      <c r="BW198" s="207">
        <v>24727.2558363038</v>
      </c>
      <c r="BX198" s="207">
        <v>130873.78517567727</v>
      </c>
      <c r="BY198" s="207">
        <v>148340.0917950246</v>
      </c>
      <c r="BZ198" s="207">
        <v>236625.1477244411</v>
      </c>
      <c r="CA198" s="207">
        <v>72430.37775755036</v>
      </c>
      <c r="CB198" s="207">
        <v>137823.4190385528</v>
      </c>
      <c r="CC198" s="207">
        <v>233.73</v>
      </c>
      <c r="CD198" s="207">
        <v>-38300.04218500018</v>
      </c>
      <c r="CE198" s="207">
        <v>181457.99175881286</v>
      </c>
      <c r="CF198" s="207">
        <v>-165336.12668173562</v>
      </c>
      <c r="CG198" s="207">
        <v>152877.82228917765</v>
      </c>
      <c r="CH198" s="207">
        <v>180133.7972936281</v>
      </c>
      <c r="CI198" s="207">
        <v>0</v>
      </c>
      <c r="CJ198" s="207">
        <v>2341458.6681381855</v>
      </c>
      <c r="CK198" s="207">
        <v>4156</v>
      </c>
      <c r="CL198" s="207">
        <v>27268</v>
      </c>
      <c r="CM198" s="207">
        <v>58626.2</v>
      </c>
      <c r="CN198" s="207">
        <v>-31358.199999999997</v>
      </c>
      <c r="CO198" s="207">
        <v>12997728.657885784</v>
      </c>
      <c r="CP198" s="207">
        <v>14113707.324171402</v>
      </c>
      <c r="CQ198" s="207">
        <v>2669</v>
      </c>
    </row>
    <row r="199" spans="1:95" ht="11.25">
      <c r="A199" s="207">
        <v>623</v>
      </c>
      <c r="B199" s="207" t="s">
        <v>255</v>
      </c>
      <c r="C199" s="207">
        <v>2197</v>
      </c>
      <c r="D199" s="207">
        <v>7928110.7</v>
      </c>
      <c r="E199" s="207">
        <v>4410616.276000566</v>
      </c>
      <c r="F199" s="207">
        <v>1823052.7519075687</v>
      </c>
      <c r="G199" s="207">
        <v>14161779.727908134</v>
      </c>
      <c r="H199" s="207">
        <v>3664.46</v>
      </c>
      <c r="I199" s="207">
        <v>8050818.62</v>
      </c>
      <c r="J199" s="207">
        <v>6110961.107908134</v>
      </c>
      <c r="K199" s="207">
        <v>431140.0058240915</v>
      </c>
      <c r="L199" s="207">
        <v>86997.1207058251</v>
      </c>
      <c r="M199" s="207">
        <v>0</v>
      </c>
      <c r="N199" s="207">
        <v>6629098.2344380515</v>
      </c>
      <c r="O199" s="207">
        <v>836436.3465521284</v>
      </c>
      <c r="P199" s="207">
        <v>7465534.58099018</v>
      </c>
      <c r="Q199" s="207">
        <v>43</v>
      </c>
      <c r="R199" s="207">
        <v>12</v>
      </c>
      <c r="S199" s="207">
        <v>76</v>
      </c>
      <c r="T199" s="207">
        <v>65</v>
      </c>
      <c r="U199" s="207">
        <v>43</v>
      </c>
      <c r="V199" s="207">
        <v>1064</v>
      </c>
      <c r="W199" s="207">
        <v>527</v>
      </c>
      <c r="X199" s="207">
        <v>250</v>
      </c>
      <c r="Y199" s="207">
        <v>117</v>
      </c>
      <c r="Z199" s="207">
        <v>4</v>
      </c>
      <c r="AA199" s="207">
        <v>0</v>
      </c>
      <c r="AB199" s="207">
        <v>2146</v>
      </c>
      <c r="AC199" s="207">
        <v>47</v>
      </c>
      <c r="AD199" s="207">
        <v>894</v>
      </c>
      <c r="AE199" s="481">
        <v>1.699236672001267</v>
      </c>
      <c r="AF199" s="207">
        <v>4410616.276000566</v>
      </c>
      <c r="AG199" s="207" t="e">
        <v>#DIV/0!</v>
      </c>
      <c r="AH199" s="207" t="e">
        <v>#DIV/0!</v>
      </c>
      <c r="AI199" s="207" t="e">
        <v>#DIV/0!</v>
      </c>
      <c r="AJ199" s="175">
        <v>87</v>
      </c>
      <c r="AK199" s="175">
        <v>872</v>
      </c>
      <c r="AL199" s="175">
        <v>1.0226499620185534</v>
      </c>
      <c r="AM199" s="175">
        <v>47</v>
      </c>
      <c r="AN199" s="175">
        <v>0.021392808375056895</v>
      </c>
      <c r="AO199" s="175">
        <v>0.0181117292645939</v>
      </c>
      <c r="AP199" s="175">
        <v>0</v>
      </c>
      <c r="AQ199" s="175">
        <v>4</v>
      </c>
      <c r="AR199" s="175">
        <v>0</v>
      </c>
      <c r="AS199" s="175">
        <v>1</v>
      </c>
      <c r="AT199" s="175">
        <v>0</v>
      </c>
      <c r="AU199" s="175">
        <v>794.18</v>
      </c>
      <c r="AV199" s="175">
        <v>2.7663753808960188</v>
      </c>
      <c r="AW199" s="175">
        <v>6.561120470582805</v>
      </c>
      <c r="AX199" s="175">
        <v>87</v>
      </c>
      <c r="AY199" s="175">
        <v>486</v>
      </c>
      <c r="AZ199" s="175">
        <v>0.17901234567901234</v>
      </c>
      <c r="BA199" s="175">
        <v>0.11782850959477784</v>
      </c>
      <c r="BB199" s="175">
        <v>0.786733</v>
      </c>
      <c r="BC199" s="207">
        <v>605</v>
      </c>
      <c r="BD199" s="175">
        <v>751</v>
      </c>
      <c r="BE199" s="175">
        <v>0.8055925432756325</v>
      </c>
      <c r="BF199" s="175">
        <v>0.39668566068453937</v>
      </c>
      <c r="BG199" s="175">
        <v>0</v>
      </c>
      <c r="BH199" s="175">
        <v>0</v>
      </c>
      <c r="BI199" s="207">
        <v>0</v>
      </c>
      <c r="BJ199" s="207">
        <v>-527.28</v>
      </c>
      <c r="BK199" s="207">
        <v>-9007.699999999999</v>
      </c>
      <c r="BL199" s="207">
        <v>-615.1600000000001</v>
      </c>
      <c r="BM199" s="207">
        <v>0</v>
      </c>
      <c r="BN199" s="207">
        <v>0</v>
      </c>
      <c r="BO199" s="207">
        <v>2864</v>
      </c>
      <c r="BP199" s="207">
        <v>-39508.27137301028</v>
      </c>
      <c r="BQ199" s="207">
        <v>-93504.32</v>
      </c>
      <c r="BR199" s="207">
        <v>270448.9247596208</v>
      </c>
      <c r="BS199" s="207">
        <v>306712</v>
      </c>
      <c r="BT199" s="207">
        <v>80932</v>
      </c>
      <c r="BU199" s="207">
        <v>212840.17227451561</v>
      </c>
      <c r="BV199" s="207">
        <v>11757.206041825455</v>
      </c>
      <c r="BW199" s="207">
        <v>28178.923088862364</v>
      </c>
      <c r="BX199" s="207">
        <v>96841.9166642587</v>
      </c>
      <c r="BY199" s="207">
        <v>115917.57965680344</v>
      </c>
      <c r="BZ199" s="207">
        <v>195401.13376254923</v>
      </c>
      <c r="CA199" s="207">
        <v>64132.152054768645</v>
      </c>
      <c r="CB199" s="207">
        <v>103884.00046307367</v>
      </c>
      <c r="CC199" s="207">
        <v>197.73</v>
      </c>
      <c r="CD199" s="207">
        <v>-34376.4472404994</v>
      </c>
      <c r="CE199" s="207">
        <v>365692.78207883536</v>
      </c>
      <c r="CF199" s="207">
        <v>86997.1207058251</v>
      </c>
      <c r="CG199" s="207">
        <v>124383.54455971406</v>
      </c>
      <c r="CH199" s="207">
        <v>148450.4427671959</v>
      </c>
      <c r="CI199" s="207">
        <v>0</v>
      </c>
      <c r="CJ199" s="207">
        <v>836436.3465521284</v>
      </c>
      <c r="CK199" s="207">
        <v>-290728</v>
      </c>
      <c r="CL199" s="207">
        <v>10907.2</v>
      </c>
      <c r="CM199" s="207">
        <v>114525.6</v>
      </c>
      <c r="CN199" s="207">
        <v>-103618.40000000001</v>
      </c>
      <c r="CO199" s="207">
        <v>7174806.58099018</v>
      </c>
      <c r="CP199" s="207">
        <v>8021607.34788727</v>
      </c>
      <c r="CQ199" s="207">
        <v>2208</v>
      </c>
    </row>
    <row r="200" spans="1:95" ht="11.25">
      <c r="A200" s="207">
        <v>624</v>
      </c>
      <c r="B200" s="207" t="s">
        <v>256</v>
      </c>
      <c r="C200" s="207">
        <v>5187</v>
      </c>
      <c r="D200" s="207">
        <v>18760240.98</v>
      </c>
      <c r="E200" s="207">
        <v>6193617.201055277</v>
      </c>
      <c r="F200" s="207">
        <v>1431783.792975818</v>
      </c>
      <c r="G200" s="207">
        <v>26385641.974031094</v>
      </c>
      <c r="H200" s="207">
        <v>3664.46</v>
      </c>
      <c r="I200" s="207">
        <v>19007554.02</v>
      </c>
      <c r="J200" s="207">
        <v>7378087.954031095</v>
      </c>
      <c r="K200" s="207">
        <v>26725.78741747573</v>
      </c>
      <c r="L200" s="207">
        <v>-112842.03767013375</v>
      </c>
      <c r="M200" s="207">
        <v>0</v>
      </c>
      <c r="N200" s="207">
        <v>7291971.703778437</v>
      </c>
      <c r="O200" s="207">
        <v>1242995.570700901</v>
      </c>
      <c r="P200" s="207">
        <v>8534967.274479339</v>
      </c>
      <c r="Q200" s="207">
        <v>279</v>
      </c>
      <c r="R200" s="207">
        <v>83</v>
      </c>
      <c r="S200" s="207">
        <v>379</v>
      </c>
      <c r="T200" s="207">
        <v>174</v>
      </c>
      <c r="U200" s="207">
        <v>159</v>
      </c>
      <c r="V200" s="207">
        <v>2787</v>
      </c>
      <c r="W200" s="207">
        <v>779</v>
      </c>
      <c r="X200" s="207">
        <v>381</v>
      </c>
      <c r="Y200" s="207">
        <v>166</v>
      </c>
      <c r="Z200" s="207">
        <v>385</v>
      </c>
      <c r="AA200" s="207">
        <v>0</v>
      </c>
      <c r="AB200" s="207">
        <v>4624</v>
      </c>
      <c r="AC200" s="207">
        <v>178</v>
      </c>
      <c r="AD200" s="207">
        <v>1326</v>
      </c>
      <c r="AE200" s="481">
        <v>1.0106778911154213</v>
      </c>
      <c r="AF200" s="207">
        <v>6193617.201055277</v>
      </c>
      <c r="AG200" s="207" t="e">
        <v>#DIV/0!</v>
      </c>
      <c r="AH200" s="207" t="e">
        <v>#DIV/0!</v>
      </c>
      <c r="AI200" s="207" t="e">
        <v>#DIV/0!</v>
      </c>
      <c r="AJ200" s="175">
        <v>228</v>
      </c>
      <c r="AK200" s="175">
        <v>2447</v>
      </c>
      <c r="AL200" s="175">
        <v>0.9550478176358606</v>
      </c>
      <c r="AM200" s="175">
        <v>178</v>
      </c>
      <c r="AN200" s="175">
        <v>0.034316560632350106</v>
      </c>
      <c r="AO200" s="175">
        <v>0.03103548152188711</v>
      </c>
      <c r="AP200" s="175">
        <v>1</v>
      </c>
      <c r="AQ200" s="175">
        <v>385</v>
      </c>
      <c r="AR200" s="175">
        <v>0</v>
      </c>
      <c r="AS200" s="175">
        <v>3</v>
      </c>
      <c r="AT200" s="175">
        <v>192</v>
      </c>
      <c r="AU200" s="175">
        <v>324.75</v>
      </c>
      <c r="AV200" s="175">
        <v>15.97228637413395</v>
      </c>
      <c r="AW200" s="175">
        <v>1.136375952431377</v>
      </c>
      <c r="AX200" s="175">
        <v>235</v>
      </c>
      <c r="AY200" s="175">
        <v>1701</v>
      </c>
      <c r="AZ200" s="175">
        <v>0.13815402704291593</v>
      </c>
      <c r="BA200" s="175">
        <v>0.07697019095868143</v>
      </c>
      <c r="BB200" s="175">
        <v>0</v>
      </c>
      <c r="BC200" s="207">
        <v>1004</v>
      </c>
      <c r="BD200" s="175">
        <v>2060</v>
      </c>
      <c r="BE200" s="175">
        <v>0.487378640776699</v>
      </c>
      <c r="BF200" s="175">
        <v>0.07847175818560592</v>
      </c>
      <c r="BG200" s="175">
        <v>0</v>
      </c>
      <c r="BH200" s="175">
        <v>0</v>
      </c>
      <c r="BI200" s="207">
        <v>0</v>
      </c>
      <c r="BJ200" s="207">
        <v>-1244.8799999999999</v>
      </c>
      <c r="BK200" s="207">
        <v>-21266.699999999997</v>
      </c>
      <c r="BL200" s="207">
        <v>-1452.3600000000001</v>
      </c>
      <c r="BM200" s="207">
        <v>0</v>
      </c>
      <c r="BN200" s="207">
        <v>0</v>
      </c>
      <c r="BO200" s="207">
        <v>97136</v>
      </c>
      <c r="BP200" s="207">
        <v>-105377.63266941978</v>
      </c>
      <c r="BQ200" s="207">
        <v>-220758.72</v>
      </c>
      <c r="BR200" s="207">
        <v>190396.44915563427</v>
      </c>
      <c r="BS200" s="207">
        <v>373776</v>
      </c>
      <c r="BT200" s="207">
        <v>115577</v>
      </c>
      <c r="BU200" s="207">
        <v>235069.5784648998</v>
      </c>
      <c r="BV200" s="207">
        <v>9112.403436958746</v>
      </c>
      <c r="BW200" s="207">
        <v>-127110.83688082914</v>
      </c>
      <c r="BX200" s="207">
        <v>99430.33695296093</v>
      </c>
      <c r="BY200" s="207">
        <v>228962.00169117263</v>
      </c>
      <c r="BZ200" s="207">
        <v>403407.92759863316</v>
      </c>
      <c r="CA200" s="207">
        <v>117512.97516334013</v>
      </c>
      <c r="CB200" s="207">
        <v>200386.0547264546</v>
      </c>
      <c r="CC200" s="207">
        <v>466.83</v>
      </c>
      <c r="CD200" s="207">
        <v>32363.60261600413</v>
      </c>
      <c r="CE200" s="207">
        <v>557244.2849992859</v>
      </c>
      <c r="CF200" s="207">
        <v>-112842.03767013375</v>
      </c>
      <c r="CG200" s="207">
        <v>231746.27322764756</v>
      </c>
      <c r="CH200" s="207">
        <v>293837.5854351482</v>
      </c>
      <c r="CI200" s="207">
        <v>0</v>
      </c>
      <c r="CJ200" s="207">
        <v>1242995.570700901</v>
      </c>
      <c r="CK200" s="207">
        <v>-801739</v>
      </c>
      <c r="CL200" s="207">
        <v>94142.76999999999</v>
      </c>
      <c r="CM200" s="207">
        <v>322880.38800000004</v>
      </c>
      <c r="CN200" s="207">
        <v>-228737.61800000005</v>
      </c>
      <c r="CO200" s="207">
        <v>7733228.274479339</v>
      </c>
      <c r="CP200" s="207">
        <v>8582530.860852392</v>
      </c>
      <c r="CQ200" s="207">
        <v>5264</v>
      </c>
    </row>
    <row r="201" spans="1:95" ht="11.25">
      <c r="A201" s="207">
        <v>625</v>
      </c>
      <c r="B201" s="207" t="s">
        <v>257</v>
      </c>
      <c r="C201" s="207">
        <v>3146</v>
      </c>
      <c r="D201" s="207">
        <v>12368384.83</v>
      </c>
      <c r="E201" s="207">
        <v>5085735.4617822515</v>
      </c>
      <c r="F201" s="207">
        <v>782255.6490919115</v>
      </c>
      <c r="G201" s="207">
        <v>18236375.940874163</v>
      </c>
      <c r="H201" s="207">
        <v>3664.46</v>
      </c>
      <c r="I201" s="207">
        <v>11528391.16</v>
      </c>
      <c r="J201" s="207">
        <v>6707984.780874163</v>
      </c>
      <c r="K201" s="207">
        <v>254994.92994096948</v>
      </c>
      <c r="L201" s="207">
        <v>-226901.69064931906</v>
      </c>
      <c r="M201" s="207">
        <v>0</v>
      </c>
      <c r="N201" s="207">
        <v>6736078.020165813</v>
      </c>
      <c r="O201" s="207">
        <v>2165061.899165887</v>
      </c>
      <c r="P201" s="207">
        <v>8901139.9193317</v>
      </c>
      <c r="Q201" s="207">
        <v>201</v>
      </c>
      <c r="R201" s="207">
        <v>36</v>
      </c>
      <c r="S201" s="207">
        <v>243</v>
      </c>
      <c r="T201" s="207">
        <v>119</v>
      </c>
      <c r="U201" s="207">
        <v>119</v>
      </c>
      <c r="V201" s="207">
        <v>1537</v>
      </c>
      <c r="W201" s="207">
        <v>521</v>
      </c>
      <c r="X201" s="207">
        <v>246</v>
      </c>
      <c r="Y201" s="207">
        <v>124</v>
      </c>
      <c r="Z201" s="207">
        <v>11</v>
      </c>
      <c r="AA201" s="207">
        <v>0</v>
      </c>
      <c r="AB201" s="207">
        <v>3079</v>
      </c>
      <c r="AC201" s="207">
        <v>56</v>
      </c>
      <c r="AD201" s="207">
        <v>891</v>
      </c>
      <c r="AE201" s="481">
        <v>1.3682948783592939</v>
      </c>
      <c r="AF201" s="207">
        <v>5085735.4617822515</v>
      </c>
      <c r="AG201" s="207" t="e">
        <v>#DIV/0!</v>
      </c>
      <c r="AH201" s="207" t="e">
        <v>#DIV/0!</v>
      </c>
      <c r="AI201" s="207" t="e">
        <v>#DIV/0!</v>
      </c>
      <c r="AJ201" s="175">
        <v>102</v>
      </c>
      <c r="AK201" s="175">
        <v>1274</v>
      </c>
      <c r="AL201" s="175">
        <v>0.8206443478029035</v>
      </c>
      <c r="AM201" s="175">
        <v>56</v>
      </c>
      <c r="AN201" s="175">
        <v>0.017800381436745075</v>
      </c>
      <c r="AO201" s="175">
        <v>0.014519302326282079</v>
      </c>
      <c r="AP201" s="175">
        <v>0</v>
      </c>
      <c r="AQ201" s="175">
        <v>11</v>
      </c>
      <c r="AR201" s="175">
        <v>0</v>
      </c>
      <c r="AS201" s="175">
        <v>0</v>
      </c>
      <c r="AT201" s="175">
        <v>0</v>
      </c>
      <c r="AU201" s="175">
        <v>543.01</v>
      </c>
      <c r="AV201" s="175">
        <v>5.793631793152981</v>
      </c>
      <c r="AW201" s="175">
        <v>3.132840123247699</v>
      </c>
      <c r="AX201" s="175">
        <v>94</v>
      </c>
      <c r="AY201" s="175">
        <v>868</v>
      </c>
      <c r="AZ201" s="175">
        <v>0.10829493087557604</v>
      </c>
      <c r="BA201" s="175">
        <v>0.04711109479134155</v>
      </c>
      <c r="BB201" s="175">
        <v>0.283466</v>
      </c>
      <c r="BC201" s="207">
        <v>791</v>
      </c>
      <c r="BD201" s="175">
        <v>1115</v>
      </c>
      <c r="BE201" s="175">
        <v>0.7094170403587444</v>
      </c>
      <c r="BF201" s="175">
        <v>0.30051015776765133</v>
      </c>
      <c r="BG201" s="175">
        <v>0</v>
      </c>
      <c r="BH201" s="175">
        <v>0</v>
      </c>
      <c r="BI201" s="207">
        <v>0</v>
      </c>
      <c r="BJ201" s="207">
        <v>-755.04</v>
      </c>
      <c r="BK201" s="207">
        <v>-12898.599999999999</v>
      </c>
      <c r="BL201" s="207">
        <v>-880.8800000000001</v>
      </c>
      <c r="BM201" s="207">
        <v>0</v>
      </c>
      <c r="BN201" s="207">
        <v>0</v>
      </c>
      <c r="BO201" s="207">
        <v>22461</v>
      </c>
      <c r="BP201" s="207">
        <v>-68151.68695632026</v>
      </c>
      <c r="BQ201" s="207">
        <v>-133893.76</v>
      </c>
      <c r="BR201" s="207">
        <v>-15316.170387493446</v>
      </c>
      <c r="BS201" s="207">
        <v>278360</v>
      </c>
      <c r="BT201" s="207">
        <v>90828</v>
      </c>
      <c r="BU201" s="207">
        <v>209003.70193620183</v>
      </c>
      <c r="BV201" s="207">
        <v>9695.638026579994</v>
      </c>
      <c r="BW201" s="207">
        <v>35066.45150657508</v>
      </c>
      <c r="BX201" s="207">
        <v>103455.7139788927</v>
      </c>
      <c r="BY201" s="207">
        <v>169578.02322362876</v>
      </c>
      <c r="BZ201" s="207">
        <v>253663.12014994805</v>
      </c>
      <c r="CA201" s="207">
        <v>67489.5917378455</v>
      </c>
      <c r="CB201" s="207">
        <v>122279.33884860553</v>
      </c>
      <c r="CC201" s="207">
        <v>283.14</v>
      </c>
      <c r="CD201" s="207">
        <v>13041.601410651849</v>
      </c>
      <c r="CE201" s="207">
        <v>183755.0163070012</v>
      </c>
      <c r="CF201" s="207">
        <v>-226901.69064931906</v>
      </c>
      <c r="CG201" s="207">
        <v>160170.90528384282</v>
      </c>
      <c r="CH201" s="207">
        <v>166991.6508071949</v>
      </c>
      <c r="CI201" s="207">
        <v>0</v>
      </c>
      <c r="CJ201" s="207">
        <v>2165061.899165887</v>
      </c>
      <c r="CK201" s="207">
        <v>195751</v>
      </c>
      <c r="CL201" s="207">
        <v>167698.2</v>
      </c>
      <c r="CM201" s="207">
        <v>43765.14</v>
      </c>
      <c r="CN201" s="207">
        <v>123933.06000000001</v>
      </c>
      <c r="CO201" s="207">
        <v>9096890.9193317</v>
      </c>
      <c r="CP201" s="207">
        <v>9936621.718092497</v>
      </c>
      <c r="CQ201" s="207">
        <v>3189</v>
      </c>
    </row>
    <row r="202" spans="1:95" ht="11.25">
      <c r="A202" s="207">
        <v>626</v>
      </c>
      <c r="B202" s="207" t="s">
        <v>258</v>
      </c>
      <c r="C202" s="207">
        <v>5248</v>
      </c>
      <c r="D202" s="207">
        <v>20530983.720000003</v>
      </c>
      <c r="E202" s="207">
        <v>11340824.319275543</v>
      </c>
      <c r="F202" s="207">
        <v>1761445.4060187312</v>
      </c>
      <c r="G202" s="207">
        <v>33633253.445294276</v>
      </c>
      <c r="H202" s="207">
        <v>3664.46</v>
      </c>
      <c r="I202" s="207">
        <v>19231086.080000002</v>
      </c>
      <c r="J202" s="207">
        <v>14402167.365294274</v>
      </c>
      <c r="K202" s="207">
        <v>1290443.6216375655</v>
      </c>
      <c r="L202" s="207">
        <v>-670271.1023737126</v>
      </c>
      <c r="M202" s="207">
        <v>0</v>
      </c>
      <c r="N202" s="207">
        <v>15022339.884558128</v>
      </c>
      <c r="O202" s="207">
        <v>1271087.0609168953</v>
      </c>
      <c r="P202" s="207">
        <v>16293426.945475023</v>
      </c>
      <c r="Q202" s="207">
        <v>285</v>
      </c>
      <c r="R202" s="207">
        <v>55</v>
      </c>
      <c r="S202" s="207">
        <v>326</v>
      </c>
      <c r="T202" s="207">
        <v>167</v>
      </c>
      <c r="U202" s="207">
        <v>136</v>
      </c>
      <c r="V202" s="207">
        <v>2557</v>
      </c>
      <c r="W202" s="207">
        <v>922</v>
      </c>
      <c r="X202" s="207">
        <v>556</v>
      </c>
      <c r="Y202" s="207">
        <v>244</v>
      </c>
      <c r="Z202" s="207">
        <v>12</v>
      </c>
      <c r="AA202" s="207">
        <v>0</v>
      </c>
      <c r="AB202" s="207">
        <v>5175</v>
      </c>
      <c r="AC202" s="207">
        <v>61</v>
      </c>
      <c r="AD202" s="207">
        <v>1722</v>
      </c>
      <c r="AE202" s="481">
        <v>1.829091577099661</v>
      </c>
      <c r="AF202" s="207">
        <v>11340824.319275543</v>
      </c>
      <c r="AG202" s="207" t="e">
        <v>#DIV/0!</v>
      </c>
      <c r="AH202" s="207" t="e">
        <v>#DIV/0!</v>
      </c>
      <c r="AI202" s="207" t="e">
        <v>#DIV/0!</v>
      </c>
      <c r="AJ202" s="175">
        <v>224</v>
      </c>
      <c r="AK202" s="175">
        <v>2064</v>
      </c>
      <c r="AL202" s="175">
        <v>1.1124040574108973</v>
      </c>
      <c r="AM202" s="175">
        <v>61</v>
      </c>
      <c r="AN202" s="175">
        <v>0.011623475609756097</v>
      </c>
      <c r="AO202" s="175">
        <v>0.008342396499293102</v>
      </c>
      <c r="AP202" s="175">
        <v>0</v>
      </c>
      <c r="AQ202" s="175">
        <v>12</v>
      </c>
      <c r="AR202" s="175">
        <v>0</v>
      </c>
      <c r="AS202" s="175">
        <v>0</v>
      </c>
      <c r="AT202" s="175">
        <v>0</v>
      </c>
      <c r="AU202" s="175">
        <v>1310.8</v>
      </c>
      <c r="AV202" s="175">
        <v>4.003661885871224</v>
      </c>
      <c r="AW202" s="175">
        <v>4.5334802633972915</v>
      </c>
      <c r="AX202" s="175">
        <v>189</v>
      </c>
      <c r="AY202" s="175">
        <v>1270</v>
      </c>
      <c r="AZ202" s="175">
        <v>0.14881889763779527</v>
      </c>
      <c r="BA202" s="175">
        <v>0.08763506155356077</v>
      </c>
      <c r="BB202" s="175">
        <v>0.967833</v>
      </c>
      <c r="BC202" s="207">
        <v>1688</v>
      </c>
      <c r="BD202" s="175">
        <v>1749</v>
      </c>
      <c r="BE202" s="175">
        <v>0.9651229273870783</v>
      </c>
      <c r="BF202" s="175">
        <v>0.5562160447959852</v>
      </c>
      <c r="BG202" s="175">
        <v>0</v>
      </c>
      <c r="BH202" s="175">
        <v>0</v>
      </c>
      <c r="BI202" s="207">
        <v>0</v>
      </c>
      <c r="BJ202" s="207">
        <v>-1259.52</v>
      </c>
      <c r="BK202" s="207">
        <v>-21516.8</v>
      </c>
      <c r="BL202" s="207">
        <v>-1469.44</v>
      </c>
      <c r="BM202" s="207">
        <v>0</v>
      </c>
      <c r="BN202" s="207">
        <v>0</v>
      </c>
      <c r="BO202" s="207">
        <v>115437</v>
      </c>
      <c r="BP202" s="207">
        <v>-184145.9104694467</v>
      </c>
      <c r="BQ202" s="207">
        <v>-223354.88</v>
      </c>
      <c r="BR202" s="207">
        <v>-60032.6572009027</v>
      </c>
      <c r="BS202" s="207">
        <v>568854</v>
      </c>
      <c r="BT202" s="207">
        <v>160404</v>
      </c>
      <c r="BU202" s="207">
        <v>347711.14435782126</v>
      </c>
      <c r="BV202" s="207">
        <v>18609.89689071376</v>
      </c>
      <c r="BW202" s="207">
        <v>54407.33896008739</v>
      </c>
      <c r="BX202" s="207">
        <v>220486.06081992874</v>
      </c>
      <c r="BY202" s="207">
        <v>276663.9387210996</v>
      </c>
      <c r="BZ202" s="207">
        <v>449731.40092725924</v>
      </c>
      <c r="CA202" s="207">
        <v>115058.54717717654</v>
      </c>
      <c r="CB202" s="207">
        <v>223906.49939928832</v>
      </c>
      <c r="CC202" s="207">
        <v>472.32</v>
      </c>
      <c r="CD202" s="207">
        <v>-271249.98354241444</v>
      </c>
      <c r="CE202" s="207">
        <v>85224.56809573408</v>
      </c>
      <c r="CF202" s="207">
        <v>-670271.1023737126</v>
      </c>
      <c r="CG202" s="207">
        <v>295402.3688390512</v>
      </c>
      <c r="CH202" s="207">
        <v>309004.0082477178</v>
      </c>
      <c r="CI202" s="207">
        <v>0</v>
      </c>
      <c r="CJ202" s="207">
        <v>1271087.0609168953</v>
      </c>
      <c r="CK202" s="207">
        <v>-300233</v>
      </c>
      <c r="CL202" s="207">
        <v>34085</v>
      </c>
      <c r="CM202" s="207">
        <v>100959.77</v>
      </c>
      <c r="CN202" s="207">
        <v>-66874.77</v>
      </c>
      <c r="CO202" s="207">
        <v>15993193.945475023</v>
      </c>
      <c r="CP202" s="207">
        <v>16412348.00267261</v>
      </c>
      <c r="CQ202" s="207">
        <v>5337</v>
      </c>
    </row>
    <row r="203" spans="1:95" ht="11.25">
      <c r="A203" s="207">
        <v>630</v>
      </c>
      <c r="B203" s="207" t="s">
        <v>259</v>
      </c>
      <c r="C203" s="207">
        <v>1557</v>
      </c>
      <c r="D203" s="207">
        <v>6121370.079999999</v>
      </c>
      <c r="E203" s="207">
        <v>2201101.7474266193</v>
      </c>
      <c r="F203" s="207">
        <v>770945.2541999082</v>
      </c>
      <c r="G203" s="207">
        <v>9093417.081626527</v>
      </c>
      <c r="H203" s="207">
        <v>3664.46</v>
      </c>
      <c r="I203" s="207">
        <v>5705564.22</v>
      </c>
      <c r="J203" s="207">
        <v>3387852.8616265273</v>
      </c>
      <c r="K203" s="207">
        <v>834269.995395001</v>
      </c>
      <c r="L203" s="207">
        <v>-124105.85764318741</v>
      </c>
      <c r="M203" s="207">
        <v>0</v>
      </c>
      <c r="N203" s="207">
        <v>4098016.999378341</v>
      </c>
      <c r="O203" s="207">
        <v>1318469.3020648542</v>
      </c>
      <c r="P203" s="207">
        <v>5416486.301443195</v>
      </c>
      <c r="Q203" s="207">
        <v>121</v>
      </c>
      <c r="R203" s="207">
        <v>24</v>
      </c>
      <c r="S203" s="207">
        <v>142</v>
      </c>
      <c r="T203" s="207">
        <v>79</v>
      </c>
      <c r="U203" s="207">
        <v>57</v>
      </c>
      <c r="V203" s="207">
        <v>785</v>
      </c>
      <c r="W203" s="207">
        <v>210</v>
      </c>
      <c r="X203" s="207">
        <v>102</v>
      </c>
      <c r="Y203" s="207">
        <v>37</v>
      </c>
      <c r="Z203" s="207">
        <v>0</v>
      </c>
      <c r="AA203" s="207">
        <v>0</v>
      </c>
      <c r="AB203" s="207">
        <v>1534</v>
      </c>
      <c r="AC203" s="207">
        <v>23</v>
      </c>
      <c r="AD203" s="207">
        <v>349</v>
      </c>
      <c r="AE203" s="481">
        <v>1.1965646252030357</v>
      </c>
      <c r="AF203" s="207">
        <v>2201101.7474266193</v>
      </c>
      <c r="AG203" s="207" t="e">
        <v>#DIV/0!</v>
      </c>
      <c r="AH203" s="207" t="e">
        <v>#DIV/0!</v>
      </c>
      <c r="AI203" s="207" t="e">
        <v>#DIV/0!</v>
      </c>
      <c r="AJ203" s="175">
        <v>54</v>
      </c>
      <c r="AK203" s="175">
        <v>669</v>
      </c>
      <c r="AL203" s="175">
        <v>0.8273549715913209</v>
      </c>
      <c r="AM203" s="175">
        <v>23</v>
      </c>
      <c r="AN203" s="175">
        <v>0.014771997430956968</v>
      </c>
      <c r="AO203" s="175">
        <v>0.011490918320493971</v>
      </c>
      <c r="AP203" s="175">
        <v>0</v>
      </c>
      <c r="AQ203" s="175">
        <v>0</v>
      </c>
      <c r="AR203" s="175">
        <v>0</v>
      </c>
      <c r="AS203" s="175">
        <v>0</v>
      </c>
      <c r="AT203" s="175">
        <v>0</v>
      </c>
      <c r="AU203" s="175">
        <v>810.67</v>
      </c>
      <c r="AV203" s="175">
        <v>1.9206335500265215</v>
      </c>
      <c r="AW203" s="175">
        <v>9.450278602423943</v>
      </c>
      <c r="AX203" s="175">
        <v>41</v>
      </c>
      <c r="AY203" s="175">
        <v>385</v>
      </c>
      <c r="AZ203" s="175">
        <v>0.10649350649350649</v>
      </c>
      <c r="BA203" s="175">
        <v>0.045309670409271995</v>
      </c>
      <c r="BB203" s="175">
        <v>1.430633</v>
      </c>
      <c r="BC203" s="207">
        <v>886</v>
      </c>
      <c r="BD203" s="175">
        <v>591</v>
      </c>
      <c r="BE203" s="175">
        <v>1.4991539763113366</v>
      </c>
      <c r="BF203" s="175">
        <v>1.0902470937202435</v>
      </c>
      <c r="BG203" s="175">
        <v>0</v>
      </c>
      <c r="BH203" s="175">
        <v>0</v>
      </c>
      <c r="BI203" s="207">
        <v>0</v>
      </c>
      <c r="BJ203" s="207">
        <v>-373.68</v>
      </c>
      <c r="BK203" s="207">
        <v>-6383.7</v>
      </c>
      <c r="BL203" s="207">
        <v>-435.96000000000004</v>
      </c>
      <c r="BM203" s="207">
        <v>0</v>
      </c>
      <c r="BN203" s="207">
        <v>0</v>
      </c>
      <c r="BO203" s="207">
        <v>27930</v>
      </c>
      <c r="BP203" s="207">
        <v>-10506.663095141846</v>
      </c>
      <c r="BQ203" s="207">
        <v>-66265.92</v>
      </c>
      <c r="BR203" s="207">
        <v>-38762.769205734134</v>
      </c>
      <c r="BS203" s="207">
        <v>142597</v>
      </c>
      <c r="BT203" s="207">
        <v>43369</v>
      </c>
      <c r="BU203" s="207">
        <v>115066.9355321736</v>
      </c>
      <c r="BV203" s="207">
        <v>6926.724569399294</v>
      </c>
      <c r="BW203" s="207">
        <v>14447.999352274763</v>
      </c>
      <c r="BX203" s="207">
        <v>58673.82537882386</v>
      </c>
      <c r="BY203" s="207">
        <v>84154.45967872407</v>
      </c>
      <c r="BZ203" s="207">
        <v>133597.43870718923</v>
      </c>
      <c r="CA203" s="207">
        <v>38246.73357772989</v>
      </c>
      <c r="CB203" s="207">
        <v>71275.45868150082</v>
      </c>
      <c r="CC203" s="207">
        <v>140.13</v>
      </c>
      <c r="CD203" s="207">
        <v>-14805.284160239758</v>
      </c>
      <c r="CE203" s="207">
        <v>55911.395451954435</v>
      </c>
      <c r="CF203" s="207">
        <v>-124105.85764318741</v>
      </c>
      <c r="CG203" s="207">
        <v>79867.88881792832</v>
      </c>
      <c r="CH203" s="207">
        <v>95432.93504169505</v>
      </c>
      <c r="CI203" s="207">
        <v>0</v>
      </c>
      <c r="CJ203" s="207">
        <v>1318469.3020648542</v>
      </c>
      <c r="CK203" s="207">
        <v>-149316</v>
      </c>
      <c r="CL203" s="207">
        <v>184263.51</v>
      </c>
      <c r="CM203" s="207">
        <v>35448.4</v>
      </c>
      <c r="CN203" s="207">
        <v>148815.11000000002</v>
      </c>
      <c r="CO203" s="207">
        <v>5267170.301443195</v>
      </c>
      <c r="CP203" s="207">
        <v>5473192.748179402</v>
      </c>
      <c r="CQ203" s="207">
        <v>1579</v>
      </c>
    </row>
    <row r="204" spans="1:95" ht="11.25">
      <c r="A204" s="207">
        <v>631</v>
      </c>
      <c r="B204" s="207" t="s">
        <v>260</v>
      </c>
      <c r="C204" s="207">
        <v>2028</v>
      </c>
      <c r="D204" s="207">
        <v>7054568.539999999</v>
      </c>
      <c r="E204" s="207">
        <v>2304920.0753211738</v>
      </c>
      <c r="F204" s="207">
        <v>330128.3531991021</v>
      </c>
      <c r="G204" s="207">
        <v>9689616.968520274</v>
      </c>
      <c r="H204" s="207">
        <v>3664.46</v>
      </c>
      <c r="I204" s="207">
        <v>7431524.88</v>
      </c>
      <c r="J204" s="207">
        <v>2258092.0885202745</v>
      </c>
      <c r="K204" s="207">
        <v>24192.412770278635</v>
      </c>
      <c r="L204" s="207">
        <v>6029.612856994907</v>
      </c>
      <c r="M204" s="207">
        <v>0</v>
      </c>
      <c r="N204" s="207">
        <v>2288314.114147548</v>
      </c>
      <c r="O204" s="207">
        <v>781189.5114021456</v>
      </c>
      <c r="P204" s="207">
        <v>3069503.6255496936</v>
      </c>
      <c r="Q204" s="207">
        <v>98</v>
      </c>
      <c r="R204" s="207">
        <v>26</v>
      </c>
      <c r="S204" s="207">
        <v>132</v>
      </c>
      <c r="T204" s="207">
        <v>53</v>
      </c>
      <c r="U204" s="207">
        <v>71</v>
      </c>
      <c r="V204" s="207">
        <v>1082</v>
      </c>
      <c r="W204" s="207">
        <v>338</v>
      </c>
      <c r="X204" s="207">
        <v>162</v>
      </c>
      <c r="Y204" s="207">
        <v>66</v>
      </c>
      <c r="Z204" s="207">
        <v>6</v>
      </c>
      <c r="AA204" s="207">
        <v>0</v>
      </c>
      <c r="AB204" s="207">
        <v>1988</v>
      </c>
      <c r="AC204" s="207">
        <v>34</v>
      </c>
      <c r="AD204" s="207">
        <v>566</v>
      </c>
      <c r="AE204" s="481">
        <v>0.9619944649473262</v>
      </c>
      <c r="AF204" s="207">
        <v>2304920.0753211738</v>
      </c>
      <c r="AG204" s="207" t="e">
        <v>#DIV/0!</v>
      </c>
      <c r="AH204" s="207" t="e">
        <v>#DIV/0!</v>
      </c>
      <c r="AI204" s="207" t="e">
        <v>#DIV/0!</v>
      </c>
      <c r="AJ204" s="175">
        <v>54</v>
      </c>
      <c r="AK204" s="175">
        <v>936</v>
      </c>
      <c r="AL204" s="175">
        <v>0.5913466623873864</v>
      </c>
      <c r="AM204" s="175">
        <v>34</v>
      </c>
      <c r="AN204" s="175">
        <v>0.016765285996055226</v>
      </c>
      <c r="AO204" s="175">
        <v>0.01348420688559223</v>
      </c>
      <c r="AP204" s="175">
        <v>0</v>
      </c>
      <c r="AQ204" s="175">
        <v>6</v>
      </c>
      <c r="AR204" s="175">
        <v>0</v>
      </c>
      <c r="AS204" s="175">
        <v>0</v>
      </c>
      <c r="AT204" s="175">
        <v>0</v>
      </c>
      <c r="AU204" s="175">
        <v>143.49</v>
      </c>
      <c r="AV204" s="175">
        <v>14.13338908634748</v>
      </c>
      <c r="AW204" s="175">
        <v>1.2842299911240784</v>
      </c>
      <c r="AX204" s="175">
        <v>85</v>
      </c>
      <c r="AY204" s="175">
        <v>626</v>
      </c>
      <c r="AZ204" s="175">
        <v>0.13578274760383385</v>
      </c>
      <c r="BA204" s="175">
        <v>0.07459891151959935</v>
      </c>
      <c r="BB204" s="175">
        <v>0</v>
      </c>
      <c r="BC204" s="207">
        <v>502</v>
      </c>
      <c r="BD204" s="175">
        <v>850</v>
      </c>
      <c r="BE204" s="175">
        <v>0.5905882352941176</v>
      </c>
      <c r="BF204" s="175">
        <v>0.18168135270302455</v>
      </c>
      <c r="BG204" s="175">
        <v>0</v>
      </c>
      <c r="BH204" s="175">
        <v>0</v>
      </c>
      <c r="BI204" s="207">
        <v>0</v>
      </c>
      <c r="BJ204" s="207">
        <v>-486.71999999999997</v>
      </c>
      <c r="BK204" s="207">
        <v>-8314.8</v>
      </c>
      <c r="BL204" s="207">
        <v>-567.84</v>
      </c>
      <c r="BM204" s="207">
        <v>0</v>
      </c>
      <c r="BN204" s="207">
        <v>0</v>
      </c>
      <c r="BO204" s="207">
        <v>38872</v>
      </c>
      <c r="BP204" s="207">
        <v>-34154.98406473611</v>
      </c>
      <c r="BQ204" s="207">
        <v>-86311.68000000001</v>
      </c>
      <c r="BR204" s="207">
        <v>125422.74595760088</v>
      </c>
      <c r="BS204" s="207">
        <v>166578</v>
      </c>
      <c r="BT204" s="207">
        <v>56438</v>
      </c>
      <c r="BU204" s="207">
        <v>129722.21444774065</v>
      </c>
      <c r="BV204" s="207">
        <v>5761.346417775909</v>
      </c>
      <c r="BW204" s="207">
        <v>-32797.7229609648</v>
      </c>
      <c r="BX204" s="207">
        <v>53378.44238395563</v>
      </c>
      <c r="BY204" s="207">
        <v>104600.43267838539</v>
      </c>
      <c r="BZ204" s="207">
        <v>186841.64452944396</v>
      </c>
      <c r="CA204" s="207">
        <v>53002.486559640914</v>
      </c>
      <c r="CB204" s="207">
        <v>88648.77410462896</v>
      </c>
      <c r="CC204" s="207">
        <v>182.51999999999998</v>
      </c>
      <c r="CD204" s="207">
        <v>9383.631881987802</v>
      </c>
      <c r="CE204" s="207">
        <v>260972.956921731</v>
      </c>
      <c r="CF204" s="207">
        <v>6029.612856994907</v>
      </c>
      <c r="CG204" s="207">
        <v>85104.33908214232</v>
      </c>
      <c r="CH204" s="207">
        <v>125433.93391263133</v>
      </c>
      <c r="CI204" s="207">
        <v>0</v>
      </c>
      <c r="CJ204" s="207">
        <v>781189.5114021456</v>
      </c>
      <c r="CK204" s="207">
        <v>-434838</v>
      </c>
      <c r="CL204" s="207">
        <v>13634</v>
      </c>
      <c r="CM204" s="207">
        <v>663140.0358000001</v>
      </c>
      <c r="CN204" s="207">
        <v>-649506.0358000001</v>
      </c>
      <c r="CO204" s="207">
        <v>2634665.6255496936</v>
      </c>
      <c r="CP204" s="207">
        <v>3351544.259309691</v>
      </c>
      <c r="CQ204" s="207">
        <v>2077</v>
      </c>
    </row>
    <row r="205" spans="1:95" ht="11.25">
      <c r="A205" s="207">
        <v>635</v>
      </c>
      <c r="B205" s="207" t="s">
        <v>261</v>
      </c>
      <c r="C205" s="207">
        <v>6499</v>
      </c>
      <c r="D205" s="207">
        <v>24257037.1</v>
      </c>
      <c r="E205" s="207">
        <v>9219235.542661231</v>
      </c>
      <c r="F205" s="207">
        <v>1304139.0911167667</v>
      </c>
      <c r="G205" s="207">
        <v>34780411.733778</v>
      </c>
      <c r="H205" s="207">
        <v>3664.46</v>
      </c>
      <c r="I205" s="207">
        <v>23815325.54</v>
      </c>
      <c r="J205" s="207">
        <v>10965086.193778</v>
      </c>
      <c r="K205" s="207">
        <v>148744.76786942524</v>
      </c>
      <c r="L205" s="207">
        <v>-783417.5626919672</v>
      </c>
      <c r="M205" s="207">
        <v>0</v>
      </c>
      <c r="N205" s="207">
        <v>10330413.398955459</v>
      </c>
      <c r="O205" s="207">
        <v>4327641.752106401</v>
      </c>
      <c r="P205" s="207">
        <v>14658055.151061859</v>
      </c>
      <c r="Q205" s="207">
        <v>300</v>
      </c>
      <c r="R205" s="207">
        <v>76</v>
      </c>
      <c r="S205" s="207">
        <v>437</v>
      </c>
      <c r="T205" s="207">
        <v>238</v>
      </c>
      <c r="U205" s="207">
        <v>220</v>
      </c>
      <c r="V205" s="207">
        <v>3355</v>
      </c>
      <c r="W205" s="207">
        <v>1019</v>
      </c>
      <c r="X205" s="207">
        <v>612</v>
      </c>
      <c r="Y205" s="207">
        <v>242</v>
      </c>
      <c r="Z205" s="207">
        <v>26</v>
      </c>
      <c r="AA205" s="207">
        <v>0</v>
      </c>
      <c r="AB205" s="207">
        <v>6312</v>
      </c>
      <c r="AC205" s="207">
        <v>161</v>
      </c>
      <c r="AD205" s="207">
        <v>1873</v>
      </c>
      <c r="AE205" s="481">
        <v>1.2006958990850491</v>
      </c>
      <c r="AF205" s="207">
        <v>9219235.542661231</v>
      </c>
      <c r="AG205" s="207" t="e">
        <v>#DIV/0!</v>
      </c>
      <c r="AH205" s="207" t="e">
        <v>#DIV/0!</v>
      </c>
      <c r="AI205" s="207" t="e">
        <v>#DIV/0!</v>
      </c>
      <c r="AJ205" s="175">
        <v>209</v>
      </c>
      <c r="AK205" s="175">
        <v>2933</v>
      </c>
      <c r="AL205" s="175">
        <v>0.7303961276083777</v>
      </c>
      <c r="AM205" s="175">
        <v>161</v>
      </c>
      <c r="AN205" s="175">
        <v>0.024773042006462534</v>
      </c>
      <c r="AO205" s="175">
        <v>0.02149196289599954</v>
      </c>
      <c r="AP205" s="175">
        <v>0</v>
      </c>
      <c r="AQ205" s="175">
        <v>26</v>
      </c>
      <c r="AR205" s="175">
        <v>0</v>
      </c>
      <c r="AS205" s="175">
        <v>0</v>
      </c>
      <c r="AT205" s="175">
        <v>0</v>
      </c>
      <c r="AU205" s="175">
        <v>560.6</v>
      </c>
      <c r="AV205" s="175">
        <v>11.59293613985016</v>
      </c>
      <c r="AW205" s="175">
        <v>1.565653594737025</v>
      </c>
      <c r="AX205" s="175">
        <v>246</v>
      </c>
      <c r="AY205" s="175">
        <v>1882</v>
      </c>
      <c r="AZ205" s="175">
        <v>0.13071200850159406</v>
      </c>
      <c r="BA205" s="175">
        <v>0.06952817241735956</v>
      </c>
      <c r="BB205" s="175">
        <v>0</v>
      </c>
      <c r="BC205" s="207">
        <v>1924</v>
      </c>
      <c r="BD205" s="175">
        <v>2540</v>
      </c>
      <c r="BE205" s="175">
        <v>0.75748031496063</v>
      </c>
      <c r="BF205" s="175">
        <v>0.34857343236953686</v>
      </c>
      <c r="BG205" s="175">
        <v>0</v>
      </c>
      <c r="BH205" s="175">
        <v>0</v>
      </c>
      <c r="BI205" s="207">
        <v>0</v>
      </c>
      <c r="BJ205" s="207">
        <v>-1559.76</v>
      </c>
      <c r="BK205" s="207">
        <v>-26645.899999999998</v>
      </c>
      <c r="BL205" s="207">
        <v>-1819.7200000000003</v>
      </c>
      <c r="BM205" s="207">
        <v>0</v>
      </c>
      <c r="BN205" s="207">
        <v>0</v>
      </c>
      <c r="BO205" s="207">
        <v>-130052</v>
      </c>
      <c r="BP205" s="207">
        <v>-274457.7134633062</v>
      </c>
      <c r="BQ205" s="207">
        <v>-276597.44</v>
      </c>
      <c r="BR205" s="207">
        <v>-12804.24278062582</v>
      </c>
      <c r="BS205" s="207">
        <v>642019</v>
      </c>
      <c r="BT205" s="207">
        <v>195798</v>
      </c>
      <c r="BU205" s="207">
        <v>456431.13350845047</v>
      </c>
      <c r="BV205" s="207">
        <v>18923.51818230522</v>
      </c>
      <c r="BW205" s="207">
        <v>38485.85235614743</v>
      </c>
      <c r="BX205" s="207">
        <v>180396.70705651797</v>
      </c>
      <c r="BY205" s="207">
        <v>367715.8901137397</v>
      </c>
      <c r="BZ205" s="207">
        <v>580818.1819355405</v>
      </c>
      <c r="CA205" s="207">
        <v>180688.9369229741</v>
      </c>
      <c r="CB205" s="207">
        <v>312527.8583041322</v>
      </c>
      <c r="CC205" s="207">
        <v>584.91</v>
      </c>
      <c r="CD205" s="207">
        <v>28945.692172771458</v>
      </c>
      <c r="CE205" s="207">
        <v>198586.28077133902</v>
      </c>
      <c r="CF205" s="207">
        <v>-783417.5626919672</v>
      </c>
      <c r="CG205" s="207">
        <v>305477.91137919336</v>
      </c>
      <c r="CH205" s="207">
        <v>430946.892713207</v>
      </c>
      <c r="CI205" s="207">
        <v>0</v>
      </c>
      <c r="CJ205" s="207">
        <v>4327641.752106401</v>
      </c>
      <c r="CK205" s="207">
        <v>-716307</v>
      </c>
      <c r="CL205" s="207">
        <v>134976.6</v>
      </c>
      <c r="CM205" s="207">
        <v>731055.0800000001</v>
      </c>
      <c r="CN205" s="207">
        <v>-596078.4800000001</v>
      </c>
      <c r="CO205" s="207">
        <v>13941748.151061859</v>
      </c>
      <c r="CP205" s="207">
        <v>15989455.323131695</v>
      </c>
      <c r="CQ205" s="207">
        <v>6567</v>
      </c>
    </row>
    <row r="206" spans="1:95" ht="11.25">
      <c r="A206" s="207">
        <v>636</v>
      </c>
      <c r="B206" s="207" t="s">
        <v>262</v>
      </c>
      <c r="C206" s="207">
        <v>8333</v>
      </c>
      <c r="D206" s="207">
        <v>31836906.1</v>
      </c>
      <c r="E206" s="207">
        <v>9522214.326264495</v>
      </c>
      <c r="F206" s="207">
        <v>2024202.3140780048</v>
      </c>
      <c r="G206" s="207">
        <v>43383322.7403425</v>
      </c>
      <c r="H206" s="207">
        <v>3664.46</v>
      </c>
      <c r="I206" s="207">
        <v>30535945.18</v>
      </c>
      <c r="J206" s="207">
        <v>12847377.560342498</v>
      </c>
      <c r="K206" s="207">
        <v>193701.096345454</v>
      </c>
      <c r="L206" s="207">
        <v>-751538.8873035165</v>
      </c>
      <c r="M206" s="207">
        <v>0</v>
      </c>
      <c r="N206" s="207">
        <v>12289539.769384436</v>
      </c>
      <c r="O206" s="207">
        <v>6217751.532842316</v>
      </c>
      <c r="P206" s="207">
        <v>18507291.302226752</v>
      </c>
      <c r="Q206" s="207">
        <v>537</v>
      </c>
      <c r="R206" s="207">
        <v>121</v>
      </c>
      <c r="S206" s="207">
        <v>645</v>
      </c>
      <c r="T206" s="207">
        <v>333</v>
      </c>
      <c r="U206" s="207">
        <v>275</v>
      </c>
      <c r="V206" s="207">
        <v>4359</v>
      </c>
      <c r="W206" s="207">
        <v>1164</v>
      </c>
      <c r="X206" s="207">
        <v>619</v>
      </c>
      <c r="Y206" s="207">
        <v>280</v>
      </c>
      <c r="Z206" s="207">
        <v>49</v>
      </c>
      <c r="AA206" s="207">
        <v>2</v>
      </c>
      <c r="AB206" s="207">
        <v>8001</v>
      </c>
      <c r="AC206" s="207">
        <v>281</v>
      </c>
      <c r="AD206" s="207">
        <v>2063</v>
      </c>
      <c r="AE206" s="481">
        <v>0.9672109929398991</v>
      </c>
      <c r="AF206" s="207">
        <v>9522214.326264495</v>
      </c>
      <c r="AG206" s="207" t="e">
        <v>#DIV/0!</v>
      </c>
      <c r="AH206" s="207" t="e">
        <v>#DIV/0!</v>
      </c>
      <c r="AI206" s="207" t="e">
        <v>#DIV/0!</v>
      </c>
      <c r="AJ206" s="175">
        <v>283</v>
      </c>
      <c r="AK206" s="175">
        <v>3841</v>
      </c>
      <c r="AL206" s="175">
        <v>0.7552076268066283</v>
      </c>
      <c r="AM206" s="175">
        <v>281</v>
      </c>
      <c r="AN206" s="175">
        <v>0.033721348853954156</v>
      </c>
      <c r="AO206" s="175">
        <v>0.03044026974349116</v>
      </c>
      <c r="AP206" s="175">
        <v>0</v>
      </c>
      <c r="AQ206" s="175">
        <v>49</v>
      </c>
      <c r="AR206" s="175">
        <v>2</v>
      </c>
      <c r="AS206" s="175">
        <v>0</v>
      </c>
      <c r="AT206" s="175">
        <v>0</v>
      </c>
      <c r="AU206" s="175">
        <v>750.07</v>
      </c>
      <c r="AV206" s="175">
        <v>11.109629767888329</v>
      </c>
      <c r="AW206" s="175">
        <v>1.6337648076604758</v>
      </c>
      <c r="AX206" s="175">
        <v>455</v>
      </c>
      <c r="AY206" s="175">
        <v>2548</v>
      </c>
      <c r="AZ206" s="175">
        <v>0.17857142857142858</v>
      </c>
      <c r="BA206" s="175">
        <v>0.11738759248719408</v>
      </c>
      <c r="BB206" s="175">
        <v>0</v>
      </c>
      <c r="BC206" s="207">
        <v>2626</v>
      </c>
      <c r="BD206" s="175">
        <v>3442</v>
      </c>
      <c r="BE206" s="175">
        <v>0.7629285299244625</v>
      </c>
      <c r="BF206" s="175">
        <v>0.3540216473333694</v>
      </c>
      <c r="BG206" s="175">
        <v>0</v>
      </c>
      <c r="BH206" s="175">
        <v>2</v>
      </c>
      <c r="BI206" s="207">
        <v>0</v>
      </c>
      <c r="BJ206" s="207">
        <v>-1999.9199999999998</v>
      </c>
      <c r="BK206" s="207">
        <v>-34165.299999999996</v>
      </c>
      <c r="BL206" s="207">
        <v>-2333.2400000000002</v>
      </c>
      <c r="BM206" s="207">
        <v>0</v>
      </c>
      <c r="BN206" s="207">
        <v>0</v>
      </c>
      <c r="BO206" s="207">
        <v>-25759</v>
      </c>
      <c r="BP206" s="207">
        <v>-218257.03060568526</v>
      </c>
      <c r="BQ206" s="207">
        <v>-354652.48000000004</v>
      </c>
      <c r="BR206" s="207">
        <v>4699.763645730913</v>
      </c>
      <c r="BS206" s="207">
        <v>728276</v>
      </c>
      <c r="BT206" s="207">
        <v>246779</v>
      </c>
      <c r="BU206" s="207">
        <v>568370.5156629826</v>
      </c>
      <c r="BV206" s="207">
        <v>26839.74081675102</v>
      </c>
      <c r="BW206" s="207">
        <v>50553.860423168335</v>
      </c>
      <c r="BX206" s="207">
        <v>235055.66469803228</v>
      </c>
      <c r="BY206" s="207">
        <v>500128.3131237348</v>
      </c>
      <c r="BZ206" s="207">
        <v>790161.8219502514</v>
      </c>
      <c r="CA206" s="207">
        <v>233954.87761570083</v>
      </c>
      <c r="CB206" s="207">
        <v>406319.4653399742</v>
      </c>
      <c r="CC206" s="207">
        <v>749.97</v>
      </c>
      <c r="CD206" s="207">
        <v>4953.786248370576</v>
      </c>
      <c r="CE206" s="207">
        <v>373931.85330216866</v>
      </c>
      <c r="CF206" s="207">
        <v>-751538.8873035165</v>
      </c>
      <c r="CG206" s="207">
        <v>381037.66340806714</v>
      </c>
      <c r="CH206" s="207">
        <v>581973.3772559953</v>
      </c>
      <c r="CI206" s="207">
        <v>0</v>
      </c>
      <c r="CJ206" s="207">
        <v>6217751.532842316</v>
      </c>
      <c r="CK206" s="207">
        <v>-374769</v>
      </c>
      <c r="CL206" s="207">
        <v>136476.34</v>
      </c>
      <c r="CM206" s="207">
        <v>175224.168</v>
      </c>
      <c r="CN206" s="207">
        <v>-38747.82800000001</v>
      </c>
      <c r="CO206" s="207">
        <v>18132522.302226752</v>
      </c>
      <c r="CP206" s="207">
        <v>20790084.495976377</v>
      </c>
      <c r="CQ206" s="207">
        <v>8422</v>
      </c>
    </row>
    <row r="207" spans="1:95" ht="11.25">
      <c r="A207" s="207">
        <v>678</v>
      </c>
      <c r="B207" s="207" t="s">
        <v>263</v>
      </c>
      <c r="C207" s="207">
        <v>24811</v>
      </c>
      <c r="D207" s="207">
        <v>91828150.85000001</v>
      </c>
      <c r="E207" s="207">
        <v>39810396.09199172</v>
      </c>
      <c r="F207" s="207">
        <v>4752854.149064465</v>
      </c>
      <c r="G207" s="207">
        <v>136391401.0910562</v>
      </c>
      <c r="H207" s="207">
        <v>3664.46</v>
      </c>
      <c r="I207" s="207">
        <v>90918917.06</v>
      </c>
      <c r="J207" s="207">
        <v>45472484.031056195</v>
      </c>
      <c r="K207" s="207">
        <v>1251098.6539503343</v>
      </c>
      <c r="L207" s="207">
        <v>-1985796.2865659995</v>
      </c>
      <c r="M207" s="207">
        <v>0</v>
      </c>
      <c r="N207" s="207">
        <v>44737786.39844053</v>
      </c>
      <c r="O207" s="207">
        <v>11298636.094939403</v>
      </c>
      <c r="P207" s="207">
        <v>56036422.493379936</v>
      </c>
      <c r="Q207" s="207">
        <v>1619</v>
      </c>
      <c r="R207" s="207">
        <v>357</v>
      </c>
      <c r="S207" s="207">
        <v>2065</v>
      </c>
      <c r="T207" s="207">
        <v>991</v>
      </c>
      <c r="U207" s="207">
        <v>920</v>
      </c>
      <c r="V207" s="207">
        <v>12919</v>
      </c>
      <c r="W207" s="207">
        <v>3625</v>
      </c>
      <c r="X207" s="207">
        <v>1686</v>
      </c>
      <c r="Y207" s="207">
        <v>629</v>
      </c>
      <c r="Z207" s="207">
        <v>13</v>
      </c>
      <c r="AA207" s="207">
        <v>2</v>
      </c>
      <c r="AB207" s="207">
        <v>24098</v>
      </c>
      <c r="AC207" s="207">
        <v>698</v>
      </c>
      <c r="AD207" s="207">
        <v>5940</v>
      </c>
      <c r="AE207" s="481">
        <v>1.358116054890456</v>
      </c>
      <c r="AF207" s="207">
        <v>39810396.09199172</v>
      </c>
      <c r="AG207" s="207" t="e">
        <v>#DIV/0!</v>
      </c>
      <c r="AH207" s="207" t="e">
        <v>#DIV/0!</v>
      </c>
      <c r="AI207" s="207" t="e">
        <v>#DIV/0!</v>
      </c>
      <c r="AJ207" s="175">
        <v>974</v>
      </c>
      <c r="AK207" s="175">
        <v>10461</v>
      </c>
      <c r="AL207" s="175">
        <v>0.9543550889525012</v>
      </c>
      <c r="AM207" s="175">
        <v>698</v>
      </c>
      <c r="AN207" s="175">
        <v>0.028132683084115918</v>
      </c>
      <c r="AO207" s="175">
        <v>0.024851603973652922</v>
      </c>
      <c r="AP207" s="175">
        <v>0</v>
      </c>
      <c r="AQ207" s="175">
        <v>13</v>
      </c>
      <c r="AR207" s="175">
        <v>2</v>
      </c>
      <c r="AS207" s="175">
        <v>0</v>
      </c>
      <c r="AT207" s="175">
        <v>0</v>
      </c>
      <c r="AU207" s="175">
        <v>1014.38</v>
      </c>
      <c r="AV207" s="175">
        <v>24.45927561663282</v>
      </c>
      <c r="AW207" s="175">
        <v>0.7420711236669019</v>
      </c>
      <c r="AX207" s="175">
        <v>876</v>
      </c>
      <c r="AY207" s="175">
        <v>7162</v>
      </c>
      <c r="AZ207" s="175">
        <v>0.12231220329516895</v>
      </c>
      <c r="BA207" s="175">
        <v>0.06112836721093446</v>
      </c>
      <c r="BB207" s="175">
        <v>0</v>
      </c>
      <c r="BC207" s="207">
        <v>10466</v>
      </c>
      <c r="BD207" s="175">
        <v>8893</v>
      </c>
      <c r="BE207" s="175">
        <v>1.1768806926796356</v>
      </c>
      <c r="BF207" s="175">
        <v>0.7679738100885425</v>
      </c>
      <c r="BG207" s="175">
        <v>0</v>
      </c>
      <c r="BH207" s="175">
        <v>2</v>
      </c>
      <c r="BI207" s="207">
        <v>0</v>
      </c>
      <c r="BJ207" s="207">
        <v>-5954.639999999999</v>
      </c>
      <c r="BK207" s="207">
        <v>-101725.09999999999</v>
      </c>
      <c r="BL207" s="207">
        <v>-6947.080000000001</v>
      </c>
      <c r="BM207" s="207">
        <v>0</v>
      </c>
      <c r="BN207" s="207">
        <v>0</v>
      </c>
      <c r="BO207" s="207">
        <v>619971</v>
      </c>
      <c r="BP207" s="207">
        <v>-1057852.181478681</v>
      </c>
      <c r="BQ207" s="207">
        <v>-1055956.1600000001</v>
      </c>
      <c r="BR207" s="207">
        <v>-262736.8353430629</v>
      </c>
      <c r="BS207" s="207">
        <v>1718173</v>
      </c>
      <c r="BT207" s="207">
        <v>523096</v>
      </c>
      <c r="BU207" s="207">
        <v>1194796.575612194</v>
      </c>
      <c r="BV207" s="207">
        <v>48400.668529056275</v>
      </c>
      <c r="BW207" s="207">
        <v>88377.66139206645</v>
      </c>
      <c r="BX207" s="207">
        <v>693320.6224758168</v>
      </c>
      <c r="BY207" s="207">
        <v>1030296.7893436988</v>
      </c>
      <c r="BZ207" s="207">
        <v>1749558.4975446665</v>
      </c>
      <c r="CA207" s="207">
        <v>422834.2612383189</v>
      </c>
      <c r="CB207" s="207">
        <v>858606.1745617748</v>
      </c>
      <c r="CC207" s="207">
        <v>2232.99</v>
      </c>
      <c r="CD207" s="207">
        <v>191267.64606360756</v>
      </c>
      <c r="CE207" s="207">
        <v>1773229.4649126814</v>
      </c>
      <c r="CF207" s="207">
        <v>-1985796.2865659995</v>
      </c>
      <c r="CG207" s="207">
        <v>1197931.7741921365</v>
      </c>
      <c r="CH207" s="207">
        <v>1125804.2049557632</v>
      </c>
      <c r="CI207" s="207">
        <v>0</v>
      </c>
      <c r="CJ207" s="207">
        <v>11298636.094939403</v>
      </c>
      <c r="CK207" s="207">
        <v>-1756053</v>
      </c>
      <c r="CL207" s="207">
        <v>290676.88000000006</v>
      </c>
      <c r="CM207" s="207">
        <v>473876.93799999997</v>
      </c>
      <c r="CN207" s="207">
        <v>-183200.0579999999</v>
      </c>
      <c r="CO207" s="207">
        <v>54280369.493379936</v>
      </c>
      <c r="CP207" s="207">
        <v>57250483.6614042</v>
      </c>
      <c r="CQ207" s="207">
        <v>25001</v>
      </c>
    </row>
    <row r="208" spans="1:95" ht="11.25">
      <c r="A208" s="207">
        <v>710</v>
      </c>
      <c r="B208" s="207" t="s">
        <v>264</v>
      </c>
      <c r="C208" s="207">
        <v>27592</v>
      </c>
      <c r="D208" s="207">
        <v>99562314.64000002</v>
      </c>
      <c r="E208" s="207">
        <v>29797639.931003906</v>
      </c>
      <c r="F208" s="207">
        <v>12506981.818695912</v>
      </c>
      <c r="G208" s="207">
        <v>141866936.38969982</v>
      </c>
      <c r="H208" s="207">
        <v>3664.46</v>
      </c>
      <c r="I208" s="207">
        <v>101109780.32000001</v>
      </c>
      <c r="J208" s="207">
        <v>40757156.06969981</v>
      </c>
      <c r="K208" s="207">
        <v>866902.2390908168</v>
      </c>
      <c r="L208" s="207">
        <v>-2987867.206473483</v>
      </c>
      <c r="M208" s="207">
        <v>0</v>
      </c>
      <c r="N208" s="207">
        <v>38636191.10231714</v>
      </c>
      <c r="O208" s="207">
        <v>9794122.010390133</v>
      </c>
      <c r="P208" s="207">
        <v>48430313.11270727</v>
      </c>
      <c r="Q208" s="207">
        <v>1401</v>
      </c>
      <c r="R208" s="207">
        <v>269</v>
      </c>
      <c r="S208" s="207">
        <v>1807</v>
      </c>
      <c r="T208" s="207">
        <v>935</v>
      </c>
      <c r="U208" s="207">
        <v>834</v>
      </c>
      <c r="V208" s="207">
        <v>14983</v>
      </c>
      <c r="W208" s="207">
        <v>4075</v>
      </c>
      <c r="X208" s="207">
        <v>2304</v>
      </c>
      <c r="Y208" s="207">
        <v>984</v>
      </c>
      <c r="Z208" s="207">
        <v>17832</v>
      </c>
      <c r="AA208" s="207">
        <v>1</v>
      </c>
      <c r="AB208" s="207">
        <v>8517</v>
      </c>
      <c r="AC208" s="207">
        <v>1242</v>
      </c>
      <c r="AD208" s="207">
        <v>7363</v>
      </c>
      <c r="AE208" s="481">
        <v>0.9140781756233167</v>
      </c>
      <c r="AF208" s="207">
        <v>29797639.931003906</v>
      </c>
      <c r="AG208" s="207" t="e">
        <v>#DIV/0!</v>
      </c>
      <c r="AH208" s="207" t="e">
        <v>#DIV/0!</v>
      </c>
      <c r="AI208" s="207" t="e">
        <v>#DIV/0!</v>
      </c>
      <c r="AJ208" s="175">
        <v>1130</v>
      </c>
      <c r="AK208" s="175">
        <v>12945</v>
      </c>
      <c r="AL208" s="175">
        <v>0.8947477760237627</v>
      </c>
      <c r="AM208" s="175">
        <v>1242</v>
      </c>
      <c r="AN208" s="175">
        <v>0.045013047260075385</v>
      </c>
      <c r="AO208" s="175">
        <v>0.041731968149612386</v>
      </c>
      <c r="AP208" s="175">
        <v>3</v>
      </c>
      <c r="AQ208" s="175">
        <v>17832</v>
      </c>
      <c r="AR208" s="175">
        <v>1</v>
      </c>
      <c r="AS208" s="175">
        <v>3</v>
      </c>
      <c r="AT208" s="175">
        <v>1867</v>
      </c>
      <c r="AU208" s="175">
        <v>1148.27</v>
      </c>
      <c r="AV208" s="175">
        <v>24.029191740618497</v>
      </c>
      <c r="AW208" s="175">
        <v>0.755353002998926</v>
      </c>
      <c r="AX208" s="175">
        <v>1517</v>
      </c>
      <c r="AY208" s="175">
        <v>8380</v>
      </c>
      <c r="AZ208" s="175">
        <v>0.18102625298329356</v>
      </c>
      <c r="BA208" s="175">
        <v>0.11984241689905906</v>
      </c>
      <c r="BB208" s="175">
        <v>0</v>
      </c>
      <c r="BC208" s="207">
        <v>10144</v>
      </c>
      <c r="BD208" s="175">
        <v>11431</v>
      </c>
      <c r="BE208" s="175">
        <v>0.8874114250721722</v>
      </c>
      <c r="BF208" s="175">
        <v>0.4785045424810791</v>
      </c>
      <c r="BG208" s="175">
        <v>0</v>
      </c>
      <c r="BH208" s="175">
        <v>1</v>
      </c>
      <c r="BI208" s="207">
        <v>0</v>
      </c>
      <c r="BJ208" s="207">
        <v>-6622.08</v>
      </c>
      <c r="BK208" s="207">
        <v>-113127.2</v>
      </c>
      <c r="BL208" s="207">
        <v>-7725.760000000001</v>
      </c>
      <c r="BM208" s="207">
        <v>0</v>
      </c>
      <c r="BN208" s="207">
        <v>0</v>
      </c>
      <c r="BO208" s="207">
        <v>-62333</v>
      </c>
      <c r="BP208" s="207">
        <v>-1470622.9046484549</v>
      </c>
      <c r="BQ208" s="207">
        <v>-1174315.52</v>
      </c>
      <c r="BR208" s="207">
        <v>100751.36435972154</v>
      </c>
      <c r="BS208" s="207">
        <v>2274555</v>
      </c>
      <c r="BT208" s="207">
        <v>774472</v>
      </c>
      <c r="BU208" s="207">
        <v>1740977.2657312586</v>
      </c>
      <c r="BV208" s="207">
        <v>55966.14853698343</v>
      </c>
      <c r="BW208" s="207">
        <v>183065.70473621695</v>
      </c>
      <c r="BX208" s="207">
        <v>718511.309927462</v>
      </c>
      <c r="BY208" s="207">
        <v>1375150.3688940979</v>
      </c>
      <c r="BZ208" s="207">
        <v>2388585.246096866</v>
      </c>
      <c r="CA208" s="207">
        <v>737475.7514669271</v>
      </c>
      <c r="CB208" s="207">
        <v>1230032.8171418419</v>
      </c>
      <c r="CC208" s="207">
        <v>2483.2799999999997</v>
      </c>
      <c r="CD208" s="207">
        <v>172455.36826989887</v>
      </c>
      <c r="CE208" s="207">
        <v>1486696.7381749721</v>
      </c>
      <c r="CF208" s="207">
        <v>-2987867.206473483</v>
      </c>
      <c r="CG208" s="207">
        <v>1246023.6455453516</v>
      </c>
      <c r="CH208" s="207">
        <v>1737293.6119623953</v>
      </c>
      <c r="CI208" s="207">
        <v>0</v>
      </c>
      <c r="CJ208" s="207">
        <v>9794122.010390133</v>
      </c>
      <c r="CK208" s="207">
        <v>-1324681</v>
      </c>
      <c r="CL208" s="207">
        <v>308401.08</v>
      </c>
      <c r="CM208" s="207">
        <v>1379918.9544</v>
      </c>
      <c r="CN208" s="207">
        <v>-1071517.8743999999</v>
      </c>
      <c r="CO208" s="207">
        <v>47105632.11270727</v>
      </c>
      <c r="CP208" s="207">
        <v>53315971.10102454</v>
      </c>
      <c r="CQ208" s="207">
        <v>27851</v>
      </c>
    </row>
    <row r="209" spans="1:95" ht="11.25">
      <c r="A209" s="207">
        <v>680</v>
      </c>
      <c r="B209" s="207" t="s">
        <v>265</v>
      </c>
      <c r="C209" s="207">
        <v>24178</v>
      </c>
      <c r="D209" s="207">
        <v>82704047.09999998</v>
      </c>
      <c r="E209" s="207">
        <v>27287282.651485328</v>
      </c>
      <c r="F209" s="207">
        <v>6178907.237195756</v>
      </c>
      <c r="G209" s="207">
        <v>116170236.98868106</v>
      </c>
      <c r="H209" s="207">
        <v>3664.46</v>
      </c>
      <c r="I209" s="207">
        <v>88599313.88</v>
      </c>
      <c r="J209" s="207">
        <v>27570923.108681068</v>
      </c>
      <c r="K209" s="207">
        <v>885607.2702736363</v>
      </c>
      <c r="L209" s="207">
        <v>-3516671.9462020425</v>
      </c>
      <c r="M209" s="207">
        <v>0</v>
      </c>
      <c r="N209" s="207">
        <v>24939858.43275266</v>
      </c>
      <c r="O209" s="207">
        <v>22213.648062145312</v>
      </c>
      <c r="P209" s="207">
        <v>24962072.080814805</v>
      </c>
      <c r="Q209" s="207">
        <v>1451</v>
      </c>
      <c r="R209" s="207">
        <v>267</v>
      </c>
      <c r="S209" s="207">
        <v>1579</v>
      </c>
      <c r="T209" s="207">
        <v>767</v>
      </c>
      <c r="U209" s="207">
        <v>810</v>
      </c>
      <c r="V209" s="207">
        <v>13935</v>
      </c>
      <c r="W209" s="207">
        <v>3058</v>
      </c>
      <c r="X209" s="207">
        <v>1659</v>
      </c>
      <c r="Y209" s="207">
        <v>652</v>
      </c>
      <c r="Z209" s="207">
        <v>342</v>
      </c>
      <c r="AA209" s="207">
        <v>0</v>
      </c>
      <c r="AB209" s="207">
        <v>21969</v>
      </c>
      <c r="AC209" s="207">
        <v>1867</v>
      </c>
      <c r="AD209" s="207">
        <v>5369</v>
      </c>
      <c r="AE209" s="481">
        <v>0.9552665478675645</v>
      </c>
      <c r="AF209" s="207">
        <v>27287282.651485328</v>
      </c>
      <c r="AG209" s="207" t="e">
        <v>#DIV/0!</v>
      </c>
      <c r="AH209" s="207" t="e">
        <v>#DIV/0!</v>
      </c>
      <c r="AI209" s="207" t="e">
        <v>#DIV/0!</v>
      </c>
      <c r="AJ209" s="175">
        <v>910</v>
      </c>
      <c r="AK209" s="175">
        <v>11771</v>
      </c>
      <c r="AL209" s="175">
        <v>0.792414240199675</v>
      </c>
      <c r="AM209" s="175">
        <v>1867</v>
      </c>
      <c r="AN209" s="175">
        <v>0.07721895938456448</v>
      </c>
      <c r="AO209" s="175">
        <v>0.07393788027410149</v>
      </c>
      <c r="AP209" s="175">
        <v>0</v>
      </c>
      <c r="AQ209" s="175">
        <v>342</v>
      </c>
      <c r="AR209" s="175">
        <v>0</v>
      </c>
      <c r="AS209" s="175">
        <v>0</v>
      </c>
      <c r="AT209" s="175">
        <v>0</v>
      </c>
      <c r="AU209" s="175">
        <v>48.76</v>
      </c>
      <c r="AV209" s="175">
        <v>495.8572600492207</v>
      </c>
      <c r="AW209" s="175">
        <v>0.03660432871167699</v>
      </c>
      <c r="AX209" s="175">
        <v>1131</v>
      </c>
      <c r="AY209" s="175">
        <v>7766</v>
      </c>
      <c r="AZ209" s="175">
        <v>0.14563481843935103</v>
      </c>
      <c r="BA209" s="175">
        <v>0.08445098235511653</v>
      </c>
      <c r="BB209" s="175">
        <v>0</v>
      </c>
      <c r="BC209" s="207">
        <v>10005</v>
      </c>
      <c r="BD209" s="175">
        <v>10349</v>
      </c>
      <c r="BE209" s="175">
        <v>0.9667600734370471</v>
      </c>
      <c r="BF209" s="175">
        <v>0.557853190845954</v>
      </c>
      <c r="BG209" s="175">
        <v>0</v>
      </c>
      <c r="BH209" s="175">
        <v>0</v>
      </c>
      <c r="BI209" s="207">
        <v>0</v>
      </c>
      <c r="BJ209" s="207">
        <v>-5802.719999999999</v>
      </c>
      <c r="BK209" s="207">
        <v>-99129.79999999999</v>
      </c>
      <c r="BL209" s="207">
        <v>-6769.840000000001</v>
      </c>
      <c r="BM209" s="207">
        <v>0</v>
      </c>
      <c r="BN209" s="207">
        <v>0</v>
      </c>
      <c r="BO209" s="207">
        <v>-382405</v>
      </c>
      <c r="BP209" s="207">
        <v>-1303444.1239640212</v>
      </c>
      <c r="BQ209" s="207">
        <v>-1029015.68</v>
      </c>
      <c r="BR209" s="207">
        <v>-208527.08328069</v>
      </c>
      <c r="BS209" s="207">
        <v>1528954</v>
      </c>
      <c r="BT209" s="207">
        <v>539128</v>
      </c>
      <c r="BU209" s="207">
        <v>1052685.2707331371</v>
      </c>
      <c r="BV209" s="207">
        <v>26314.82731204461</v>
      </c>
      <c r="BW209" s="207">
        <v>-43151.45647350224</v>
      </c>
      <c r="BX209" s="207">
        <v>577164.9349497573</v>
      </c>
      <c r="BY209" s="207">
        <v>1044890.0202465078</v>
      </c>
      <c r="BZ209" s="207">
        <v>1811262.2017673086</v>
      </c>
      <c r="CA209" s="207">
        <v>522894.02766410855</v>
      </c>
      <c r="CB209" s="207">
        <v>949681.4101408351</v>
      </c>
      <c r="CC209" s="207">
        <v>2176.02</v>
      </c>
      <c r="CD209" s="207">
        <v>-36477.504698191886</v>
      </c>
      <c r="CE209" s="207">
        <v>419031.037761979</v>
      </c>
      <c r="CF209" s="207">
        <v>-3516671.9462020425</v>
      </c>
      <c r="CG209" s="207">
        <v>1020328.3857408608</v>
      </c>
      <c r="CH209" s="207">
        <v>1263610.4877330326</v>
      </c>
      <c r="CI209" s="207">
        <v>0</v>
      </c>
      <c r="CJ209" s="207">
        <v>22213.648062145312</v>
      </c>
      <c r="CK209" s="207">
        <v>-2183391</v>
      </c>
      <c r="CL209" s="207">
        <v>409224.51000000007</v>
      </c>
      <c r="CM209" s="207">
        <v>1667370.03</v>
      </c>
      <c r="CN209" s="207">
        <v>-1258145.52</v>
      </c>
      <c r="CO209" s="207">
        <v>22778681.080814805</v>
      </c>
      <c r="CP209" s="207">
        <v>27304014.642045178</v>
      </c>
      <c r="CQ209" s="207">
        <v>24234</v>
      </c>
    </row>
    <row r="210" spans="1:95" ht="11.25">
      <c r="A210" s="207">
        <v>681</v>
      </c>
      <c r="B210" s="207" t="s">
        <v>266</v>
      </c>
      <c r="C210" s="207">
        <v>3514</v>
      </c>
      <c r="D210" s="207">
        <v>12909606.72</v>
      </c>
      <c r="E210" s="207">
        <v>5348688.806913226</v>
      </c>
      <c r="F210" s="207">
        <v>1102313.8292097358</v>
      </c>
      <c r="G210" s="207">
        <v>19360609.356122963</v>
      </c>
      <c r="H210" s="207">
        <v>3664.46</v>
      </c>
      <c r="I210" s="207">
        <v>12876912.44</v>
      </c>
      <c r="J210" s="207">
        <v>6483696.916122964</v>
      </c>
      <c r="K210" s="207">
        <v>491665.06454633595</v>
      </c>
      <c r="L210" s="207">
        <v>-304192.3444817137</v>
      </c>
      <c r="M210" s="207">
        <v>0</v>
      </c>
      <c r="N210" s="207">
        <v>6671169.636187585</v>
      </c>
      <c r="O210" s="207">
        <v>3216733.0643527526</v>
      </c>
      <c r="P210" s="207">
        <v>9887902.700540338</v>
      </c>
      <c r="Q210" s="207">
        <v>135</v>
      </c>
      <c r="R210" s="207">
        <v>46</v>
      </c>
      <c r="S210" s="207">
        <v>167</v>
      </c>
      <c r="T210" s="207">
        <v>96</v>
      </c>
      <c r="U210" s="207">
        <v>107</v>
      </c>
      <c r="V210" s="207">
        <v>1786</v>
      </c>
      <c r="W210" s="207">
        <v>666</v>
      </c>
      <c r="X210" s="207">
        <v>344</v>
      </c>
      <c r="Y210" s="207">
        <v>167</v>
      </c>
      <c r="Z210" s="207">
        <v>6</v>
      </c>
      <c r="AA210" s="207">
        <v>0</v>
      </c>
      <c r="AB210" s="207">
        <v>3404</v>
      </c>
      <c r="AC210" s="207">
        <v>104</v>
      </c>
      <c r="AD210" s="207">
        <v>1177</v>
      </c>
      <c r="AE210" s="481">
        <v>1.2883392174880042</v>
      </c>
      <c r="AF210" s="207">
        <v>5348688.806913226</v>
      </c>
      <c r="AG210" s="207" t="e">
        <v>#DIV/0!</v>
      </c>
      <c r="AH210" s="207" t="e">
        <v>#DIV/0!</v>
      </c>
      <c r="AI210" s="207" t="e">
        <v>#DIV/0!</v>
      </c>
      <c r="AJ210" s="175">
        <v>173</v>
      </c>
      <c r="AK210" s="175">
        <v>1555</v>
      </c>
      <c r="AL210" s="175">
        <v>1.1403546784216352</v>
      </c>
      <c r="AM210" s="175">
        <v>104</v>
      </c>
      <c r="AN210" s="175">
        <v>0.029595902105862264</v>
      </c>
      <c r="AO210" s="175">
        <v>0.026314822995399268</v>
      </c>
      <c r="AP210" s="175">
        <v>0</v>
      </c>
      <c r="AQ210" s="175">
        <v>6</v>
      </c>
      <c r="AR210" s="175">
        <v>0</v>
      </c>
      <c r="AS210" s="175">
        <v>0</v>
      </c>
      <c r="AT210" s="175">
        <v>0</v>
      </c>
      <c r="AU210" s="175">
        <v>559.2</v>
      </c>
      <c r="AV210" s="175">
        <v>6.283977110157367</v>
      </c>
      <c r="AW210" s="175">
        <v>2.888381326465181</v>
      </c>
      <c r="AX210" s="175">
        <v>141</v>
      </c>
      <c r="AY210" s="175">
        <v>868</v>
      </c>
      <c r="AZ210" s="175">
        <v>0.16244239631336405</v>
      </c>
      <c r="BA210" s="175">
        <v>0.10125856022912955</v>
      </c>
      <c r="BB210" s="175">
        <v>0.556</v>
      </c>
      <c r="BC210" s="207">
        <v>897</v>
      </c>
      <c r="BD210" s="175">
        <v>1267</v>
      </c>
      <c r="BE210" s="175">
        <v>0.7079715864246251</v>
      </c>
      <c r="BF210" s="175">
        <v>0.299064703833532</v>
      </c>
      <c r="BG210" s="175">
        <v>0</v>
      </c>
      <c r="BH210" s="175">
        <v>0</v>
      </c>
      <c r="BI210" s="207">
        <v>0</v>
      </c>
      <c r="BJ210" s="207">
        <v>-843.36</v>
      </c>
      <c r="BK210" s="207">
        <v>-14407.4</v>
      </c>
      <c r="BL210" s="207">
        <v>-983.9200000000001</v>
      </c>
      <c r="BM210" s="207">
        <v>0</v>
      </c>
      <c r="BN210" s="207">
        <v>0</v>
      </c>
      <c r="BO210" s="207">
        <v>-61714</v>
      </c>
      <c r="BP210" s="207">
        <v>-106973.36456201426</v>
      </c>
      <c r="BQ210" s="207">
        <v>-149555.84</v>
      </c>
      <c r="BR210" s="207">
        <v>78566.64100998268</v>
      </c>
      <c r="BS210" s="207">
        <v>411804</v>
      </c>
      <c r="BT210" s="207">
        <v>130474</v>
      </c>
      <c r="BU210" s="207">
        <v>344562.1825584938</v>
      </c>
      <c r="BV210" s="207">
        <v>19231.41621597007</v>
      </c>
      <c r="BW210" s="207">
        <v>10822.416604734512</v>
      </c>
      <c r="BX210" s="207">
        <v>149765.78572192296</v>
      </c>
      <c r="BY210" s="207">
        <v>221860.94889061732</v>
      </c>
      <c r="BZ210" s="207">
        <v>352014.0620886088</v>
      </c>
      <c r="CA210" s="207">
        <v>109483.44561055586</v>
      </c>
      <c r="CB210" s="207">
        <v>181810.03428081225</v>
      </c>
      <c r="CC210" s="207">
        <v>316.26</v>
      </c>
      <c r="CD210" s="207">
        <v>-5342.658567014834</v>
      </c>
      <c r="CE210" s="207">
        <v>185350.20008030054</v>
      </c>
      <c r="CF210" s="207">
        <v>-304192.3444817137</v>
      </c>
      <c r="CG210" s="207">
        <v>170045.09763733268</v>
      </c>
      <c r="CH210" s="207">
        <v>258717.4819515821</v>
      </c>
      <c r="CI210" s="207">
        <v>75444.89361739349</v>
      </c>
      <c r="CJ210" s="207">
        <v>3216733.0643527526</v>
      </c>
      <c r="CK210" s="207">
        <v>-172113</v>
      </c>
      <c r="CL210" s="207">
        <v>0</v>
      </c>
      <c r="CM210" s="207">
        <v>145951.97</v>
      </c>
      <c r="CN210" s="207">
        <v>-145951.97</v>
      </c>
      <c r="CO210" s="207">
        <v>9715789.700540338</v>
      </c>
      <c r="CP210" s="207">
        <v>11373202.020928623</v>
      </c>
      <c r="CQ210" s="207">
        <v>3553</v>
      </c>
    </row>
    <row r="211" spans="1:95" ht="11.25">
      <c r="A211" s="207">
        <v>683</v>
      </c>
      <c r="B211" s="207" t="s">
        <v>267</v>
      </c>
      <c r="C211" s="207">
        <v>3896</v>
      </c>
      <c r="D211" s="207">
        <v>15298372.719999999</v>
      </c>
      <c r="E211" s="207">
        <v>5578057.422304524</v>
      </c>
      <c r="F211" s="207">
        <v>3233031.4920259756</v>
      </c>
      <c r="G211" s="207">
        <v>24109461.6343305</v>
      </c>
      <c r="H211" s="207">
        <v>3664.46</v>
      </c>
      <c r="I211" s="207">
        <v>14276736.16</v>
      </c>
      <c r="J211" s="207">
        <v>9832725.4743305</v>
      </c>
      <c r="K211" s="207">
        <v>4348033.142851525</v>
      </c>
      <c r="L211" s="207">
        <v>-38813.75558044377</v>
      </c>
      <c r="M211" s="207">
        <v>0</v>
      </c>
      <c r="N211" s="207">
        <v>14141944.86160158</v>
      </c>
      <c r="O211" s="207">
        <v>4962173.96490767</v>
      </c>
      <c r="P211" s="207">
        <v>19104118.826509252</v>
      </c>
      <c r="Q211" s="207">
        <v>217</v>
      </c>
      <c r="R211" s="207">
        <v>51</v>
      </c>
      <c r="S211" s="207">
        <v>339</v>
      </c>
      <c r="T211" s="207">
        <v>181</v>
      </c>
      <c r="U211" s="207">
        <v>157</v>
      </c>
      <c r="V211" s="207">
        <v>1915</v>
      </c>
      <c r="W211" s="207">
        <v>588</v>
      </c>
      <c r="X211" s="207">
        <v>324</v>
      </c>
      <c r="Y211" s="207">
        <v>124</v>
      </c>
      <c r="Z211" s="207">
        <v>1</v>
      </c>
      <c r="AA211" s="207">
        <v>0</v>
      </c>
      <c r="AB211" s="207">
        <v>3858</v>
      </c>
      <c r="AC211" s="207">
        <v>37</v>
      </c>
      <c r="AD211" s="207">
        <v>1036</v>
      </c>
      <c r="AE211" s="481">
        <v>1.2118494940796665</v>
      </c>
      <c r="AF211" s="207">
        <v>5578057.422304524</v>
      </c>
      <c r="AG211" s="207" t="e">
        <v>#DIV/0!</v>
      </c>
      <c r="AH211" s="207" t="e">
        <v>#DIV/0!</v>
      </c>
      <c r="AI211" s="207" t="e">
        <v>#DIV/0!</v>
      </c>
      <c r="AJ211" s="175">
        <v>215</v>
      </c>
      <c r="AK211" s="175">
        <v>1539</v>
      </c>
      <c r="AL211" s="175">
        <v>1.4319375537125794</v>
      </c>
      <c r="AM211" s="175">
        <v>37</v>
      </c>
      <c r="AN211" s="175">
        <v>0.009496919917864477</v>
      </c>
      <c r="AO211" s="175">
        <v>0.00621584080740148</v>
      </c>
      <c r="AP211" s="175">
        <v>0</v>
      </c>
      <c r="AQ211" s="175">
        <v>1</v>
      </c>
      <c r="AR211" s="175">
        <v>0</v>
      </c>
      <c r="AS211" s="175">
        <v>0</v>
      </c>
      <c r="AT211" s="175">
        <v>0</v>
      </c>
      <c r="AU211" s="175">
        <v>3453.62</v>
      </c>
      <c r="AV211" s="175">
        <v>1.1280916835088979</v>
      </c>
      <c r="AW211" s="175">
        <v>16.089580666401577</v>
      </c>
      <c r="AX211" s="175">
        <v>149</v>
      </c>
      <c r="AY211" s="175">
        <v>898</v>
      </c>
      <c r="AZ211" s="175">
        <v>0.16592427616926503</v>
      </c>
      <c r="BA211" s="175">
        <v>0.10474044008503053</v>
      </c>
      <c r="BB211" s="175">
        <v>1.665716</v>
      </c>
      <c r="BC211" s="207">
        <v>1182</v>
      </c>
      <c r="BD211" s="175">
        <v>1255</v>
      </c>
      <c r="BE211" s="175">
        <v>0.9418326693227091</v>
      </c>
      <c r="BF211" s="175">
        <v>0.5329257867316161</v>
      </c>
      <c r="BG211" s="175">
        <v>0</v>
      </c>
      <c r="BH211" s="175">
        <v>0</v>
      </c>
      <c r="BI211" s="207">
        <v>0</v>
      </c>
      <c r="BJ211" s="207">
        <v>-935.04</v>
      </c>
      <c r="BK211" s="207">
        <v>-15973.599999999999</v>
      </c>
      <c r="BL211" s="207">
        <v>-1090.88</v>
      </c>
      <c r="BM211" s="207">
        <v>0</v>
      </c>
      <c r="BN211" s="207">
        <v>0</v>
      </c>
      <c r="BO211" s="207">
        <v>230009</v>
      </c>
      <c r="BP211" s="207">
        <v>-119486.38136340556</v>
      </c>
      <c r="BQ211" s="207">
        <v>-165813.76</v>
      </c>
      <c r="BR211" s="207">
        <v>26685.365200374275</v>
      </c>
      <c r="BS211" s="207">
        <v>390442</v>
      </c>
      <c r="BT211" s="207">
        <v>122609</v>
      </c>
      <c r="BU211" s="207">
        <v>347331.21264556574</v>
      </c>
      <c r="BV211" s="207">
        <v>19520.681091053913</v>
      </c>
      <c r="BW211" s="207">
        <v>49288.64328394005</v>
      </c>
      <c r="BX211" s="207">
        <v>162882.72037355308</v>
      </c>
      <c r="BY211" s="207">
        <v>214276.4605479164</v>
      </c>
      <c r="BZ211" s="207">
        <v>320128.6243718793</v>
      </c>
      <c r="CA211" s="207">
        <v>93831.44175977557</v>
      </c>
      <c r="CB211" s="207">
        <v>177882.02778664883</v>
      </c>
      <c r="CC211" s="207">
        <v>350.64</v>
      </c>
      <c r="CD211" s="207">
        <v>32173.621052391634</v>
      </c>
      <c r="CE211" s="207">
        <v>504830.14578296174</v>
      </c>
      <c r="CF211" s="207">
        <v>-38813.75558044377</v>
      </c>
      <c r="CG211" s="207">
        <v>211754.4795301958</v>
      </c>
      <c r="CH211" s="207">
        <v>260689.9794687547</v>
      </c>
      <c r="CI211" s="207">
        <v>0</v>
      </c>
      <c r="CJ211" s="207">
        <v>4962173.96490767</v>
      </c>
      <c r="CK211" s="207">
        <v>216358</v>
      </c>
      <c r="CL211" s="207">
        <v>80508.76999999999</v>
      </c>
      <c r="CM211" s="207">
        <v>109194.70599999999</v>
      </c>
      <c r="CN211" s="207">
        <v>-28685.936</v>
      </c>
      <c r="CO211" s="207">
        <v>19320476.826509252</v>
      </c>
      <c r="CP211" s="207">
        <v>20484338.237136595</v>
      </c>
      <c r="CQ211" s="207">
        <v>3972</v>
      </c>
    </row>
    <row r="212" spans="1:95" ht="11.25">
      <c r="A212" s="207">
        <v>684</v>
      </c>
      <c r="B212" s="207" t="s">
        <v>268</v>
      </c>
      <c r="C212" s="207">
        <v>39360</v>
      </c>
      <c r="D212" s="207">
        <v>136869699.4</v>
      </c>
      <c r="E212" s="207">
        <v>43221228.740756065</v>
      </c>
      <c r="F212" s="207">
        <v>9325434.97253472</v>
      </c>
      <c r="G212" s="207">
        <v>189416363.1132908</v>
      </c>
      <c r="H212" s="207">
        <v>3664.46</v>
      </c>
      <c r="I212" s="207">
        <v>144233145.6</v>
      </c>
      <c r="J212" s="207">
        <v>45183217.51329079</v>
      </c>
      <c r="K212" s="207">
        <v>1523216.2081933292</v>
      </c>
      <c r="L212" s="207">
        <v>-3702864.83607736</v>
      </c>
      <c r="M212" s="207">
        <v>0</v>
      </c>
      <c r="N212" s="207">
        <v>43003568.88540676</v>
      </c>
      <c r="O212" s="207">
        <v>-4668048.590218841</v>
      </c>
      <c r="P212" s="207">
        <v>38335520.29518792</v>
      </c>
      <c r="Q212" s="207">
        <v>2086</v>
      </c>
      <c r="R212" s="207">
        <v>411</v>
      </c>
      <c r="S212" s="207">
        <v>2469</v>
      </c>
      <c r="T212" s="207">
        <v>1174</v>
      </c>
      <c r="U212" s="207">
        <v>1165</v>
      </c>
      <c r="V212" s="207">
        <v>22105</v>
      </c>
      <c r="W212" s="207">
        <v>5594</v>
      </c>
      <c r="X212" s="207">
        <v>3065</v>
      </c>
      <c r="Y212" s="207">
        <v>1291</v>
      </c>
      <c r="Z212" s="207">
        <v>118</v>
      </c>
      <c r="AA212" s="207">
        <v>2</v>
      </c>
      <c r="AB212" s="207">
        <v>37018</v>
      </c>
      <c r="AC212" s="207">
        <v>2222</v>
      </c>
      <c r="AD212" s="207">
        <v>9950</v>
      </c>
      <c r="AE212" s="481">
        <v>0.9294513722104794</v>
      </c>
      <c r="AF212" s="207">
        <v>43221228.740756065</v>
      </c>
      <c r="AG212" s="207" t="e">
        <v>#DIV/0!</v>
      </c>
      <c r="AH212" s="207" t="e">
        <v>#DIV/0!</v>
      </c>
      <c r="AI212" s="207" t="e">
        <v>#DIV/0!</v>
      </c>
      <c r="AJ212" s="175">
        <v>1623</v>
      </c>
      <c r="AK212" s="175">
        <v>18396</v>
      </c>
      <c r="AL212" s="175">
        <v>0.904314215388234</v>
      </c>
      <c r="AM212" s="175">
        <v>2222</v>
      </c>
      <c r="AN212" s="175">
        <v>0.05645325203252032</v>
      </c>
      <c r="AO212" s="175">
        <v>0.05317217292205732</v>
      </c>
      <c r="AP212" s="175">
        <v>0</v>
      </c>
      <c r="AQ212" s="175">
        <v>118</v>
      </c>
      <c r="AR212" s="175">
        <v>2</v>
      </c>
      <c r="AS212" s="175">
        <v>0</v>
      </c>
      <c r="AT212" s="175">
        <v>0</v>
      </c>
      <c r="AU212" s="175">
        <v>495.83</v>
      </c>
      <c r="AV212" s="175">
        <v>79.38204626585726</v>
      </c>
      <c r="AW212" s="175">
        <v>0.22864769799616302</v>
      </c>
      <c r="AX212" s="175">
        <v>1888</v>
      </c>
      <c r="AY212" s="175">
        <v>12010</v>
      </c>
      <c r="AZ212" s="175">
        <v>0.1572023313905079</v>
      </c>
      <c r="BA212" s="175">
        <v>0.0960184953062734</v>
      </c>
      <c r="BB212" s="175">
        <v>0</v>
      </c>
      <c r="BC212" s="207">
        <v>15862</v>
      </c>
      <c r="BD212" s="175">
        <v>15889</v>
      </c>
      <c r="BE212" s="175">
        <v>0.9983007111838379</v>
      </c>
      <c r="BF212" s="175">
        <v>0.5893938285927448</v>
      </c>
      <c r="BG212" s="175">
        <v>0</v>
      </c>
      <c r="BH212" s="175">
        <v>2</v>
      </c>
      <c r="BI212" s="207">
        <v>0</v>
      </c>
      <c r="BJ212" s="207">
        <v>-9446.4</v>
      </c>
      <c r="BK212" s="207">
        <v>-161376</v>
      </c>
      <c r="BL212" s="207">
        <v>-11020.800000000001</v>
      </c>
      <c r="BM212" s="207">
        <v>0</v>
      </c>
      <c r="BN212" s="207">
        <v>0</v>
      </c>
      <c r="BO212" s="207">
        <v>819888</v>
      </c>
      <c r="BP212" s="207">
        <v>-1711948.3644707515</v>
      </c>
      <c r="BQ212" s="207">
        <v>-1675161.6</v>
      </c>
      <c r="BR212" s="207">
        <v>441723.179392606</v>
      </c>
      <c r="BS212" s="207">
        <v>2791678</v>
      </c>
      <c r="BT212" s="207">
        <v>1004850</v>
      </c>
      <c r="BU212" s="207">
        <v>2239849.184151838</v>
      </c>
      <c r="BV212" s="207">
        <v>98973.14985240079</v>
      </c>
      <c r="BW212" s="207">
        <v>-246556.0515552825</v>
      </c>
      <c r="BX212" s="207">
        <v>955269.0614246762</v>
      </c>
      <c r="BY212" s="207">
        <v>1905271.7645717259</v>
      </c>
      <c r="BZ212" s="207">
        <v>3014864.1932441685</v>
      </c>
      <c r="CA212" s="207">
        <v>1134287.80984504</v>
      </c>
      <c r="CB212" s="207">
        <v>1813915.256291316</v>
      </c>
      <c r="CC212" s="207">
        <v>3542.4</v>
      </c>
      <c r="CD212" s="207">
        <v>-673565.637514699</v>
      </c>
      <c r="CE212" s="207">
        <v>2294206.728393392</v>
      </c>
      <c r="CF212" s="207">
        <v>-3702864.83607736</v>
      </c>
      <c r="CG212" s="207">
        <v>1663652.3865154851</v>
      </c>
      <c r="CH212" s="207">
        <v>2512332.4123191847</v>
      </c>
      <c r="CI212" s="207">
        <v>0</v>
      </c>
      <c r="CJ212" s="207">
        <v>-4668048.590218841</v>
      </c>
      <c r="CK212" s="207">
        <v>-1870318</v>
      </c>
      <c r="CL212" s="207">
        <v>662680.5700000001</v>
      </c>
      <c r="CM212" s="207">
        <v>3738290.0991999996</v>
      </c>
      <c r="CN212" s="207">
        <v>-3075609.5291999998</v>
      </c>
      <c r="CO212" s="207">
        <v>36465202.29518792</v>
      </c>
      <c r="CP212" s="207">
        <v>42761332.76631597</v>
      </c>
      <c r="CQ212" s="207">
        <v>39620</v>
      </c>
    </row>
    <row r="213" spans="1:95" ht="11.25">
      <c r="A213" s="207">
        <v>686</v>
      </c>
      <c r="B213" s="207" t="s">
        <v>269</v>
      </c>
      <c r="C213" s="207">
        <v>3196</v>
      </c>
      <c r="D213" s="207">
        <v>12077411.41</v>
      </c>
      <c r="E213" s="207">
        <v>6029638.604710685</v>
      </c>
      <c r="F213" s="207">
        <v>942313.6620250996</v>
      </c>
      <c r="G213" s="207">
        <v>19049363.67673579</v>
      </c>
      <c r="H213" s="207">
        <v>3664.46</v>
      </c>
      <c r="I213" s="207">
        <v>11711614.16</v>
      </c>
      <c r="J213" s="207">
        <v>7337749.516735788</v>
      </c>
      <c r="K213" s="207">
        <v>253986.9492772824</v>
      </c>
      <c r="L213" s="207">
        <v>-137597.19788385992</v>
      </c>
      <c r="M213" s="207">
        <v>0</v>
      </c>
      <c r="N213" s="207">
        <v>7454139.268129211</v>
      </c>
      <c r="O213" s="207">
        <v>3043053.368271993</v>
      </c>
      <c r="P213" s="207">
        <v>10497192.636401204</v>
      </c>
      <c r="Q213" s="207">
        <v>124</v>
      </c>
      <c r="R213" s="207">
        <v>32</v>
      </c>
      <c r="S213" s="207">
        <v>193</v>
      </c>
      <c r="T213" s="207">
        <v>109</v>
      </c>
      <c r="U213" s="207">
        <v>111</v>
      </c>
      <c r="V213" s="207">
        <v>1536</v>
      </c>
      <c r="W213" s="207">
        <v>621</v>
      </c>
      <c r="X213" s="207">
        <v>333</v>
      </c>
      <c r="Y213" s="207">
        <v>137</v>
      </c>
      <c r="Z213" s="207">
        <v>3</v>
      </c>
      <c r="AA213" s="207">
        <v>0</v>
      </c>
      <c r="AB213" s="207">
        <v>3096</v>
      </c>
      <c r="AC213" s="207">
        <v>97</v>
      </c>
      <c r="AD213" s="207">
        <v>1091</v>
      </c>
      <c r="AE213" s="481">
        <v>1.5968685423812556</v>
      </c>
      <c r="AF213" s="207">
        <v>6029638.604710685</v>
      </c>
      <c r="AG213" s="207" t="e">
        <v>#DIV/0!</v>
      </c>
      <c r="AH213" s="207" t="e">
        <v>#DIV/0!</v>
      </c>
      <c r="AI213" s="207" t="e">
        <v>#DIV/0!</v>
      </c>
      <c r="AJ213" s="175">
        <v>112</v>
      </c>
      <c r="AK213" s="175">
        <v>1234</v>
      </c>
      <c r="AL213" s="175">
        <v>0.9303087416920957</v>
      </c>
      <c r="AM213" s="175">
        <v>97</v>
      </c>
      <c r="AN213" s="175">
        <v>0.03035043804755945</v>
      </c>
      <c r="AO213" s="175">
        <v>0.027069358937096454</v>
      </c>
      <c r="AP213" s="175">
        <v>0</v>
      </c>
      <c r="AQ213" s="175">
        <v>3</v>
      </c>
      <c r="AR213" s="175">
        <v>0</v>
      </c>
      <c r="AS213" s="175">
        <v>0</v>
      </c>
      <c r="AT213" s="175">
        <v>0</v>
      </c>
      <c r="AU213" s="175">
        <v>538.96</v>
      </c>
      <c r="AV213" s="175">
        <v>5.929939142051357</v>
      </c>
      <c r="AW213" s="175">
        <v>3.0608277262411026</v>
      </c>
      <c r="AX213" s="175">
        <v>119</v>
      </c>
      <c r="AY213" s="175">
        <v>833</v>
      </c>
      <c r="AZ213" s="175">
        <v>0.14285714285714285</v>
      </c>
      <c r="BA213" s="175">
        <v>0.08167330677290835</v>
      </c>
      <c r="BB213" s="175">
        <v>0.229133</v>
      </c>
      <c r="BC213" s="207">
        <v>930</v>
      </c>
      <c r="BD213" s="175">
        <v>1076</v>
      </c>
      <c r="BE213" s="175">
        <v>0.8643122676579925</v>
      </c>
      <c r="BF213" s="175">
        <v>0.4554053850668994</v>
      </c>
      <c r="BG213" s="175">
        <v>0</v>
      </c>
      <c r="BH213" s="175">
        <v>0</v>
      </c>
      <c r="BI213" s="207">
        <v>0</v>
      </c>
      <c r="BJ213" s="207">
        <v>-767.04</v>
      </c>
      <c r="BK213" s="207">
        <v>-13103.599999999999</v>
      </c>
      <c r="BL213" s="207">
        <v>-894.8800000000001</v>
      </c>
      <c r="BM213" s="207">
        <v>0</v>
      </c>
      <c r="BN213" s="207">
        <v>0</v>
      </c>
      <c r="BO213" s="207">
        <v>82080</v>
      </c>
      <c r="BP213" s="207">
        <v>-96826.3184672748</v>
      </c>
      <c r="BQ213" s="207">
        <v>-136021.76</v>
      </c>
      <c r="BR213" s="207">
        <v>44659.95051725209</v>
      </c>
      <c r="BS213" s="207">
        <v>362670</v>
      </c>
      <c r="BT213" s="207">
        <v>102000</v>
      </c>
      <c r="BU213" s="207">
        <v>267642.6833515385</v>
      </c>
      <c r="BV213" s="207">
        <v>13261.625876543416</v>
      </c>
      <c r="BW213" s="207">
        <v>41439.79547026726</v>
      </c>
      <c r="BX213" s="207">
        <v>141735.98122573993</v>
      </c>
      <c r="BY213" s="207">
        <v>170023.73389113502</v>
      </c>
      <c r="BZ213" s="207">
        <v>295831.9159426533</v>
      </c>
      <c r="CA213" s="207">
        <v>79431.95436947807</v>
      </c>
      <c r="CB213" s="207">
        <v>154362.25998894344</v>
      </c>
      <c r="CC213" s="207">
        <v>287.64</v>
      </c>
      <c r="CD213" s="207">
        <v>9674.597147480374</v>
      </c>
      <c r="CE213" s="207">
        <v>307177.6405834149</v>
      </c>
      <c r="CF213" s="207">
        <v>-137597.19788385992</v>
      </c>
      <c r="CG213" s="207">
        <v>167311.41291868247</v>
      </c>
      <c r="CH213" s="207">
        <v>208791.27826309262</v>
      </c>
      <c r="CI213" s="207">
        <v>0</v>
      </c>
      <c r="CJ213" s="207">
        <v>3043053.368271993</v>
      </c>
      <c r="CK213" s="207">
        <v>224992</v>
      </c>
      <c r="CL213" s="207">
        <v>98232.97</v>
      </c>
      <c r="CM213" s="207">
        <v>37766.18</v>
      </c>
      <c r="CN213" s="207">
        <v>60466.79</v>
      </c>
      <c r="CO213" s="207">
        <v>10722184.636401204</v>
      </c>
      <c r="CP213" s="207">
        <v>11538909.901162624</v>
      </c>
      <c r="CQ213" s="207">
        <v>3255</v>
      </c>
    </row>
    <row r="214" spans="1:95" ht="11.25">
      <c r="A214" s="207">
        <v>687</v>
      </c>
      <c r="B214" s="207" t="s">
        <v>270</v>
      </c>
      <c r="C214" s="207">
        <v>1651</v>
      </c>
      <c r="D214" s="207">
        <v>6078199.98</v>
      </c>
      <c r="E214" s="207">
        <v>4169555.8882299303</v>
      </c>
      <c r="F214" s="207">
        <v>1175221.1654139468</v>
      </c>
      <c r="G214" s="207">
        <v>11422977.033643879</v>
      </c>
      <c r="H214" s="207">
        <v>3664.46</v>
      </c>
      <c r="I214" s="207">
        <v>6050023.46</v>
      </c>
      <c r="J214" s="207">
        <v>5372953.573643879</v>
      </c>
      <c r="K214" s="207">
        <v>676124.4611393551</v>
      </c>
      <c r="L214" s="207">
        <v>-50012.36954289957</v>
      </c>
      <c r="M214" s="207">
        <v>0</v>
      </c>
      <c r="N214" s="207">
        <v>5999065.665240334</v>
      </c>
      <c r="O214" s="207">
        <v>1286201.8606183182</v>
      </c>
      <c r="P214" s="207">
        <v>7285267.525858653</v>
      </c>
      <c r="Q214" s="207">
        <v>50</v>
      </c>
      <c r="R214" s="207">
        <v>8</v>
      </c>
      <c r="S214" s="207">
        <v>80</v>
      </c>
      <c r="T214" s="207">
        <v>39</v>
      </c>
      <c r="U214" s="207">
        <v>46</v>
      </c>
      <c r="V214" s="207">
        <v>782</v>
      </c>
      <c r="W214" s="207">
        <v>347</v>
      </c>
      <c r="X214" s="207">
        <v>221</v>
      </c>
      <c r="Y214" s="207">
        <v>78</v>
      </c>
      <c r="Z214" s="207">
        <v>1</v>
      </c>
      <c r="AA214" s="207">
        <v>0</v>
      </c>
      <c r="AB214" s="207">
        <v>1632</v>
      </c>
      <c r="AC214" s="207">
        <v>18</v>
      </c>
      <c r="AD214" s="207">
        <v>646</v>
      </c>
      <c r="AE214" s="481">
        <v>2.1376046205425485</v>
      </c>
      <c r="AF214" s="207">
        <v>4169555.8882299303</v>
      </c>
      <c r="AG214" s="207" t="e">
        <v>#DIV/0!</v>
      </c>
      <c r="AH214" s="207" t="e">
        <v>#DIV/0!</v>
      </c>
      <c r="AI214" s="207" t="e">
        <v>#DIV/0!</v>
      </c>
      <c r="AJ214" s="175">
        <v>81</v>
      </c>
      <c r="AK214" s="175">
        <v>611</v>
      </c>
      <c r="AL214" s="175">
        <v>1.3588391391029304</v>
      </c>
      <c r="AM214" s="175">
        <v>18</v>
      </c>
      <c r="AN214" s="175">
        <v>0.010902483343428226</v>
      </c>
      <c r="AO214" s="175">
        <v>0.00762140423296523</v>
      </c>
      <c r="AP214" s="175">
        <v>0</v>
      </c>
      <c r="AQ214" s="175">
        <v>1</v>
      </c>
      <c r="AR214" s="175">
        <v>0</v>
      </c>
      <c r="AS214" s="175">
        <v>0</v>
      </c>
      <c r="AT214" s="175">
        <v>0</v>
      </c>
      <c r="AU214" s="175">
        <v>1150.95</v>
      </c>
      <c r="AV214" s="175">
        <v>1.434467179286676</v>
      </c>
      <c r="AW214" s="175">
        <v>12.653145643903098</v>
      </c>
      <c r="AX214" s="175">
        <v>90</v>
      </c>
      <c r="AY214" s="175">
        <v>403</v>
      </c>
      <c r="AZ214" s="175">
        <v>0.22332506203473945</v>
      </c>
      <c r="BA214" s="175">
        <v>0.16214122595050495</v>
      </c>
      <c r="BB214" s="175">
        <v>1.161999</v>
      </c>
      <c r="BC214" s="207">
        <v>439</v>
      </c>
      <c r="BD214" s="175">
        <v>486</v>
      </c>
      <c r="BE214" s="175">
        <v>0.9032921810699589</v>
      </c>
      <c r="BF214" s="175">
        <v>0.4943852984788658</v>
      </c>
      <c r="BG214" s="175">
        <v>0</v>
      </c>
      <c r="BH214" s="175">
        <v>0</v>
      </c>
      <c r="BI214" s="207">
        <v>0</v>
      </c>
      <c r="BJ214" s="207">
        <v>-396.24</v>
      </c>
      <c r="BK214" s="207">
        <v>-6769.099999999999</v>
      </c>
      <c r="BL214" s="207">
        <v>-462.28000000000003</v>
      </c>
      <c r="BM214" s="207">
        <v>0</v>
      </c>
      <c r="BN214" s="207">
        <v>0</v>
      </c>
      <c r="BO214" s="207">
        <v>60400</v>
      </c>
      <c r="BP214" s="207">
        <v>-77047.94972423911</v>
      </c>
      <c r="BQ214" s="207">
        <v>-70266.56</v>
      </c>
      <c r="BR214" s="207">
        <v>78279.17512978334</v>
      </c>
      <c r="BS214" s="207">
        <v>218394</v>
      </c>
      <c r="BT214" s="207">
        <v>59737</v>
      </c>
      <c r="BU214" s="207">
        <v>173456.8360217028</v>
      </c>
      <c r="BV214" s="207">
        <v>9949.982020102858</v>
      </c>
      <c r="BW214" s="207">
        <v>29351.961617280187</v>
      </c>
      <c r="BX214" s="207">
        <v>82980.82958067652</v>
      </c>
      <c r="BY214" s="207">
        <v>94923.59479533053</v>
      </c>
      <c r="BZ214" s="207">
        <v>146572.1957154571</v>
      </c>
      <c r="CA214" s="207">
        <v>46860.10976919556</v>
      </c>
      <c r="CB214" s="207">
        <v>87182.78062056549</v>
      </c>
      <c r="CC214" s="207">
        <v>148.59</v>
      </c>
      <c r="CD214" s="207">
        <v>-34010.82298554135</v>
      </c>
      <c r="CE214" s="207">
        <v>206779.95018133952</v>
      </c>
      <c r="CF214" s="207">
        <v>-50012.36954289957</v>
      </c>
      <c r="CG214" s="207">
        <v>100328.51803709756</v>
      </c>
      <c r="CH214" s="207">
        <v>118973.53449815666</v>
      </c>
      <c r="CI214" s="207">
        <v>0</v>
      </c>
      <c r="CJ214" s="207">
        <v>1286201.8606183182</v>
      </c>
      <c r="CK214" s="207">
        <v>-80470</v>
      </c>
      <c r="CL214" s="207">
        <v>134976.6</v>
      </c>
      <c r="CM214" s="207">
        <v>24541.2</v>
      </c>
      <c r="CN214" s="207">
        <v>110435.40000000001</v>
      </c>
      <c r="CO214" s="207">
        <v>7204797.525858653</v>
      </c>
      <c r="CP214" s="207">
        <v>7887061.413825994</v>
      </c>
      <c r="CQ214" s="207">
        <v>1698</v>
      </c>
    </row>
    <row r="215" spans="1:95" ht="11.25">
      <c r="A215" s="207">
        <v>689</v>
      </c>
      <c r="B215" s="207" t="s">
        <v>271</v>
      </c>
      <c r="C215" s="207">
        <v>3335</v>
      </c>
      <c r="D215" s="207">
        <v>12176383.28</v>
      </c>
      <c r="E215" s="207">
        <v>6582735.661015823</v>
      </c>
      <c r="F215" s="207">
        <v>1015028.8068878019</v>
      </c>
      <c r="G215" s="207">
        <v>19774147.747903623</v>
      </c>
      <c r="H215" s="207">
        <v>3664.46</v>
      </c>
      <c r="I215" s="207">
        <v>12220974.1</v>
      </c>
      <c r="J215" s="207">
        <v>7553173.647903623</v>
      </c>
      <c r="K215" s="207">
        <v>556998.4520568271</v>
      </c>
      <c r="L215" s="207">
        <v>-336289.4092897832</v>
      </c>
      <c r="M215" s="207">
        <v>0</v>
      </c>
      <c r="N215" s="207">
        <v>7773882.690670667</v>
      </c>
      <c r="O215" s="207">
        <v>1279067.1173901712</v>
      </c>
      <c r="P215" s="207">
        <v>9052949.808060838</v>
      </c>
      <c r="Q215" s="207">
        <v>99</v>
      </c>
      <c r="R215" s="207">
        <v>23</v>
      </c>
      <c r="S215" s="207">
        <v>149</v>
      </c>
      <c r="T215" s="207">
        <v>75</v>
      </c>
      <c r="U215" s="207">
        <v>77</v>
      </c>
      <c r="V215" s="207">
        <v>1677</v>
      </c>
      <c r="W215" s="207">
        <v>680</v>
      </c>
      <c r="X215" s="207">
        <v>377</v>
      </c>
      <c r="Y215" s="207">
        <v>178</v>
      </c>
      <c r="Z215" s="207">
        <v>3</v>
      </c>
      <c r="AA215" s="207">
        <v>0</v>
      </c>
      <c r="AB215" s="207">
        <v>3246</v>
      </c>
      <c r="AC215" s="207">
        <v>86</v>
      </c>
      <c r="AD215" s="207">
        <v>1235</v>
      </c>
      <c r="AE215" s="481">
        <v>1.670687529234449</v>
      </c>
      <c r="AF215" s="207">
        <v>6582735.661015823</v>
      </c>
      <c r="AG215" s="207" t="e">
        <v>#DIV/0!</v>
      </c>
      <c r="AH215" s="207" t="e">
        <v>#DIV/0!</v>
      </c>
      <c r="AI215" s="207" t="e">
        <v>#DIV/0!</v>
      </c>
      <c r="AJ215" s="175">
        <v>202</v>
      </c>
      <c r="AK215" s="175">
        <v>1337</v>
      </c>
      <c r="AL215" s="175">
        <v>1.5486176369277254</v>
      </c>
      <c r="AM215" s="175">
        <v>86</v>
      </c>
      <c r="AN215" s="175">
        <v>0.025787106446776613</v>
      </c>
      <c r="AO215" s="175">
        <v>0.022506027336313617</v>
      </c>
      <c r="AP215" s="175">
        <v>0</v>
      </c>
      <c r="AQ215" s="175">
        <v>3</v>
      </c>
      <c r="AR215" s="175">
        <v>0</v>
      </c>
      <c r="AS215" s="175">
        <v>0</v>
      </c>
      <c r="AT215" s="175">
        <v>0</v>
      </c>
      <c r="AU215" s="175">
        <v>351.51</v>
      </c>
      <c r="AV215" s="175">
        <v>9.487639042985975</v>
      </c>
      <c r="AW215" s="175">
        <v>1.9130704760876727</v>
      </c>
      <c r="AX215" s="175">
        <v>134</v>
      </c>
      <c r="AY215" s="175">
        <v>828</v>
      </c>
      <c r="AZ215" s="175">
        <v>0.16183574879227053</v>
      </c>
      <c r="BA215" s="175">
        <v>0.10065191270803603</v>
      </c>
      <c r="BB215" s="175">
        <v>0.6437</v>
      </c>
      <c r="BC215" s="207">
        <v>880</v>
      </c>
      <c r="BD215" s="175">
        <v>1058</v>
      </c>
      <c r="BE215" s="175">
        <v>0.831758034026465</v>
      </c>
      <c r="BF215" s="175">
        <v>0.4228511514353719</v>
      </c>
      <c r="BG215" s="175">
        <v>0</v>
      </c>
      <c r="BH215" s="175">
        <v>0</v>
      </c>
      <c r="BI215" s="207">
        <v>0</v>
      </c>
      <c r="BJ215" s="207">
        <v>-800.4</v>
      </c>
      <c r="BK215" s="207">
        <v>-13673.499999999998</v>
      </c>
      <c r="BL215" s="207">
        <v>-933.8000000000001</v>
      </c>
      <c r="BM215" s="207">
        <v>0</v>
      </c>
      <c r="BN215" s="207">
        <v>0</v>
      </c>
      <c r="BO215" s="207">
        <v>20434</v>
      </c>
      <c r="BP215" s="207">
        <v>-136143.2425714315</v>
      </c>
      <c r="BQ215" s="207">
        <v>-141937.6</v>
      </c>
      <c r="BR215" s="207">
        <v>-30003.020192259923</v>
      </c>
      <c r="BS215" s="207">
        <v>325681</v>
      </c>
      <c r="BT215" s="207">
        <v>97347</v>
      </c>
      <c r="BU215" s="207">
        <v>241802.7511438312</v>
      </c>
      <c r="BV215" s="207">
        <v>12693.207108820638</v>
      </c>
      <c r="BW215" s="207">
        <v>48835.58689050997</v>
      </c>
      <c r="BX215" s="207">
        <v>132015.90703346976</v>
      </c>
      <c r="BY215" s="207">
        <v>166885.05560943205</v>
      </c>
      <c r="BZ215" s="207">
        <v>280292.94047990604</v>
      </c>
      <c r="CA215" s="207">
        <v>76194.95326775785</v>
      </c>
      <c r="CB215" s="207">
        <v>135895.78831440024</v>
      </c>
      <c r="CC215" s="207">
        <v>300.15</v>
      </c>
      <c r="CD215" s="207">
        <v>-4774.720348796178</v>
      </c>
      <c r="CE215" s="207">
        <v>162935.28328164836</v>
      </c>
      <c r="CF215" s="207">
        <v>-336289.4092897832</v>
      </c>
      <c r="CG215" s="207">
        <v>173677.22382270446</v>
      </c>
      <c r="CH215" s="207">
        <v>173019.14479082936</v>
      </c>
      <c r="CI215" s="207">
        <v>91202.00320430283</v>
      </c>
      <c r="CJ215" s="207">
        <v>1279067.1173901712</v>
      </c>
      <c r="CK215" s="207">
        <v>-299473</v>
      </c>
      <c r="CL215" s="207">
        <v>70964.97</v>
      </c>
      <c r="CM215" s="207">
        <v>86603.168</v>
      </c>
      <c r="CN215" s="207">
        <v>-15638.198000000004</v>
      </c>
      <c r="CO215" s="207">
        <v>8753476.808060838</v>
      </c>
      <c r="CP215" s="207">
        <v>10120214.728039224</v>
      </c>
      <c r="CQ215" s="207">
        <v>3436</v>
      </c>
    </row>
    <row r="216" spans="1:95" ht="11.25">
      <c r="A216" s="207">
        <v>691</v>
      </c>
      <c r="B216" s="207" t="s">
        <v>272</v>
      </c>
      <c r="C216" s="207">
        <v>2743</v>
      </c>
      <c r="D216" s="207">
        <v>10994046.85</v>
      </c>
      <c r="E216" s="207">
        <v>4732513.202418073</v>
      </c>
      <c r="F216" s="207">
        <v>643838.484641918</v>
      </c>
      <c r="G216" s="207">
        <v>16370398.537059989</v>
      </c>
      <c r="H216" s="207">
        <v>3664.46</v>
      </c>
      <c r="I216" s="207">
        <v>10051613.78</v>
      </c>
      <c r="J216" s="207">
        <v>6318784.7570599895</v>
      </c>
      <c r="K216" s="207">
        <v>391464.90002111136</v>
      </c>
      <c r="L216" s="207">
        <v>-198510.58700335448</v>
      </c>
      <c r="M216" s="207">
        <v>0</v>
      </c>
      <c r="N216" s="207">
        <v>6511739.070077746</v>
      </c>
      <c r="O216" s="207">
        <v>3120536.1262340075</v>
      </c>
      <c r="P216" s="207">
        <v>9632275.196311753</v>
      </c>
      <c r="Q216" s="207">
        <v>178</v>
      </c>
      <c r="R216" s="207">
        <v>38</v>
      </c>
      <c r="S216" s="207">
        <v>210</v>
      </c>
      <c r="T216" s="207">
        <v>128</v>
      </c>
      <c r="U216" s="207">
        <v>122</v>
      </c>
      <c r="V216" s="207">
        <v>1355</v>
      </c>
      <c r="W216" s="207">
        <v>384</v>
      </c>
      <c r="X216" s="207">
        <v>231</v>
      </c>
      <c r="Y216" s="207">
        <v>97</v>
      </c>
      <c r="Z216" s="207">
        <v>3</v>
      </c>
      <c r="AA216" s="207">
        <v>0</v>
      </c>
      <c r="AB216" s="207">
        <v>2731</v>
      </c>
      <c r="AC216" s="207">
        <v>9</v>
      </c>
      <c r="AD216" s="207">
        <v>712</v>
      </c>
      <c r="AE216" s="481">
        <v>1.4603288998400532</v>
      </c>
      <c r="AF216" s="207">
        <v>4732513.202418073</v>
      </c>
      <c r="AG216" s="207" t="e">
        <v>#DIV/0!</v>
      </c>
      <c r="AH216" s="207" t="e">
        <v>#DIV/0!</v>
      </c>
      <c r="AI216" s="207" t="e">
        <v>#DIV/0!</v>
      </c>
      <c r="AJ216" s="175">
        <v>74</v>
      </c>
      <c r="AK216" s="175">
        <v>1154</v>
      </c>
      <c r="AL216" s="175">
        <v>0.6572795947044087</v>
      </c>
      <c r="AM216" s="175">
        <v>9</v>
      </c>
      <c r="AN216" s="175">
        <v>0.0032810791104629965</v>
      </c>
      <c r="AO216" s="175">
        <v>0</v>
      </c>
      <c r="AP216" s="175">
        <v>0</v>
      </c>
      <c r="AQ216" s="175">
        <v>3</v>
      </c>
      <c r="AR216" s="175">
        <v>0</v>
      </c>
      <c r="AS216" s="175">
        <v>0</v>
      </c>
      <c r="AT216" s="175">
        <v>0</v>
      </c>
      <c r="AU216" s="175">
        <v>474.45</v>
      </c>
      <c r="AV216" s="175">
        <v>5.781431130783012</v>
      </c>
      <c r="AW216" s="175">
        <v>3.1394514144207997</v>
      </c>
      <c r="AX216" s="175">
        <v>128</v>
      </c>
      <c r="AY216" s="175">
        <v>706</v>
      </c>
      <c r="AZ216" s="175">
        <v>0.1813031161473088</v>
      </c>
      <c r="BA216" s="175">
        <v>0.12011928006307429</v>
      </c>
      <c r="BB216" s="175">
        <v>0.500866</v>
      </c>
      <c r="BC216" s="207">
        <v>963</v>
      </c>
      <c r="BD216" s="175">
        <v>1033</v>
      </c>
      <c r="BE216" s="175">
        <v>0.9322362052274927</v>
      </c>
      <c r="BF216" s="175">
        <v>0.5233293226363996</v>
      </c>
      <c r="BG216" s="175">
        <v>0</v>
      </c>
      <c r="BH216" s="175">
        <v>0</v>
      </c>
      <c r="BI216" s="207">
        <v>0</v>
      </c>
      <c r="BJ216" s="207">
        <v>-658.3199999999999</v>
      </c>
      <c r="BK216" s="207">
        <v>-11246.3</v>
      </c>
      <c r="BL216" s="207">
        <v>-768.0400000000001</v>
      </c>
      <c r="BM216" s="207">
        <v>0</v>
      </c>
      <c r="BN216" s="207">
        <v>0</v>
      </c>
      <c r="BO216" s="207">
        <v>1125</v>
      </c>
      <c r="BP216" s="207">
        <v>-73390.72768612395</v>
      </c>
      <c r="BQ216" s="207">
        <v>-116742.08</v>
      </c>
      <c r="BR216" s="207">
        <v>17542.227682605386</v>
      </c>
      <c r="BS216" s="207">
        <v>279753</v>
      </c>
      <c r="BT216" s="207">
        <v>82585</v>
      </c>
      <c r="BU216" s="207">
        <v>234894.54925491245</v>
      </c>
      <c r="BV216" s="207">
        <v>11397.25428446925</v>
      </c>
      <c r="BW216" s="207">
        <v>43223.19502340273</v>
      </c>
      <c r="BX216" s="207">
        <v>116300.28153997274</v>
      </c>
      <c r="BY216" s="207">
        <v>159182.77197731164</v>
      </c>
      <c r="BZ216" s="207">
        <v>290154.133997758</v>
      </c>
      <c r="CA216" s="207">
        <v>74547.25512168124</v>
      </c>
      <c r="CB216" s="207">
        <v>137589.4888417758</v>
      </c>
      <c r="CC216" s="207">
        <v>246.87</v>
      </c>
      <c r="CD216" s="207">
        <v>8098.940686657092</v>
      </c>
      <c r="CE216" s="207">
        <v>173510.55068276942</v>
      </c>
      <c r="CF216" s="207">
        <v>-198510.58700335448</v>
      </c>
      <c r="CG216" s="207">
        <v>143781.94231350694</v>
      </c>
      <c r="CH216" s="207">
        <v>195671.02491455842</v>
      </c>
      <c r="CI216" s="207">
        <v>0</v>
      </c>
      <c r="CJ216" s="207">
        <v>3120536.1262340075</v>
      </c>
      <c r="CK216" s="207">
        <v>-201097</v>
      </c>
      <c r="CL216" s="207">
        <v>92779.37000000001</v>
      </c>
      <c r="CM216" s="207">
        <v>156791</v>
      </c>
      <c r="CN216" s="207">
        <v>-64011.62999999999</v>
      </c>
      <c r="CO216" s="207">
        <v>9431178.196311753</v>
      </c>
      <c r="CP216" s="207">
        <v>14050013.40650975</v>
      </c>
      <c r="CQ216" s="207">
        <v>2813</v>
      </c>
    </row>
    <row r="217" spans="1:95" ht="11.25">
      <c r="A217" s="207">
        <v>694</v>
      </c>
      <c r="B217" s="207" t="s">
        <v>273</v>
      </c>
      <c r="C217" s="207">
        <v>28736</v>
      </c>
      <c r="D217" s="207">
        <v>98587622.57</v>
      </c>
      <c r="E217" s="207">
        <v>32220132.289703943</v>
      </c>
      <c r="F217" s="207">
        <v>6101742.720236591</v>
      </c>
      <c r="G217" s="207">
        <v>136909497.57994053</v>
      </c>
      <c r="H217" s="207">
        <v>3664.46</v>
      </c>
      <c r="I217" s="207">
        <v>105301922.56</v>
      </c>
      <c r="J217" s="207">
        <v>31607575.019940525</v>
      </c>
      <c r="K217" s="207">
        <v>926062.816742462</v>
      </c>
      <c r="L217" s="207">
        <v>-3582960.1868630126</v>
      </c>
      <c r="M217" s="207">
        <v>0</v>
      </c>
      <c r="N217" s="207">
        <v>28950677.649819974</v>
      </c>
      <c r="O217" s="207">
        <v>1153358.3348749618</v>
      </c>
      <c r="P217" s="207">
        <v>30104035.984694935</v>
      </c>
      <c r="Q217" s="207">
        <v>1596</v>
      </c>
      <c r="R217" s="207">
        <v>316</v>
      </c>
      <c r="S217" s="207">
        <v>2072</v>
      </c>
      <c r="T217" s="207">
        <v>994</v>
      </c>
      <c r="U217" s="207">
        <v>973</v>
      </c>
      <c r="V217" s="207">
        <v>16612</v>
      </c>
      <c r="W217" s="207">
        <v>3617</v>
      </c>
      <c r="X217" s="207">
        <v>1791</v>
      </c>
      <c r="Y217" s="207">
        <v>765</v>
      </c>
      <c r="Z217" s="207">
        <v>114</v>
      </c>
      <c r="AA217" s="207">
        <v>0</v>
      </c>
      <c r="AB217" s="207">
        <v>27189</v>
      </c>
      <c r="AC217" s="207">
        <v>1433</v>
      </c>
      <c r="AD217" s="207">
        <v>6173</v>
      </c>
      <c r="AE217" s="481">
        <v>0.9490424916244233</v>
      </c>
      <c r="AF217" s="207">
        <v>32220132.289703943</v>
      </c>
      <c r="AG217" s="207" t="e">
        <v>#DIV/0!</v>
      </c>
      <c r="AH217" s="207" t="e">
        <v>#DIV/0!</v>
      </c>
      <c r="AI217" s="207" t="e">
        <v>#DIV/0!</v>
      </c>
      <c r="AJ217" s="175">
        <v>1217</v>
      </c>
      <c r="AK217" s="175">
        <v>14165</v>
      </c>
      <c r="AL217" s="175">
        <v>0.8806396560189048</v>
      </c>
      <c r="AM217" s="175">
        <v>1433</v>
      </c>
      <c r="AN217" s="175">
        <v>0.049867761692650336</v>
      </c>
      <c r="AO217" s="175">
        <v>0.04658668258218734</v>
      </c>
      <c r="AP217" s="175">
        <v>0</v>
      </c>
      <c r="AQ217" s="175">
        <v>114</v>
      </c>
      <c r="AR217" s="175">
        <v>0</v>
      </c>
      <c r="AS217" s="175">
        <v>0</v>
      </c>
      <c r="AT217" s="175">
        <v>0</v>
      </c>
      <c r="AU217" s="175">
        <v>121.01</v>
      </c>
      <c r="AV217" s="175">
        <v>237.46797785306998</v>
      </c>
      <c r="AW217" s="175">
        <v>0.07643355666313693</v>
      </c>
      <c r="AX217" s="175">
        <v>1375</v>
      </c>
      <c r="AY217" s="175">
        <v>9213</v>
      </c>
      <c r="AZ217" s="175">
        <v>0.14924563117334202</v>
      </c>
      <c r="BA217" s="175">
        <v>0.08806179508910753</v>
      </c>
      <c r="BB217" s="175">
        <v>0</v>
      </c>
      <c r="BC217" s="207">
        <v>11116</v>
      </c>
      <c r="BD217" s="175">
        <v>12355</v>
      </c>
      <c r="BE217" s="175">
        <v>0.8997167138810198</v>
      </c>
      <c r="BF217" s="175">
        <v>0.4908098312899267</v>
      </c>
      <c r="BG217" s="175">
        <v>0</v>
      </c>
      <c r="BH217" s="175">
        <v>0</v>
      </c>
      <c r="BI217" s="207">
        <v>0</v>
      </c>
      <c r="BJ217" s="207">
        <v>-6896.639999999999</v>
      </c>
      <c r="BK217" s="207">
        <v>-117817.59999999999</v>
      </c>
      <c r="BL217" s="207">
        <v>-8046.080000000001</v>
      </c>
      <c r="BM217" s="207">
        <v>0</v>
      </c>
      <c r="BN217" s="207">
        <v>0</v>
      </c>
      <c r="BO217" s="207">
        <v>658284</v>
      </c>
      <c r="BP217" s="207">
        <v>-2474370.345729028</v>
      </c>
      <c r="BQ217" s="207">
        <v>-1223004.1600000001</v>
      </c>
      <c r="BR217" s="207">
        <v>-40213.59984558821</v>
      </c>
      <c r="BS217" s="207">
        <v>1862094</v>
      </c>
      <c r="BT217" s="207">
        <v>644858</v>
      </c>
      <c r="BU217" s="207">
        <v>1377691.1378719537</v>
      </c>
      <c r="BV217" s="207">
        <v>37343.72389893481</v>
      </c>
      <c r="BW217" s="207">
        <v>125027.78905120381</v>
      </c>
      <c r="BX217" s="207">
        <v>564070.1081007131</v>
      </c>
      <c r="BY217" s="207">
        <v>1348464.5471801157</v>
      </c>
      <c r="BZ217" s="207">
        <v>2106124.3002889347</v>
      </c>
      <c r="CA217" s="207">
        <v>643405.0512731222</v>
      </c>
      <c r="CB217" s="207">
        <v>1110852.129278579</v>
      </c>
      <c r="CC217" s="207">
        <v>2586.24</v>
      </c>
      <c r="CD217" s="207">
        <v>168310.95989217295</v>
      </c>
      <c r="CE217" s="207">
        <v>2019898.4788660156</v>
      </c>
      <c r="CF217" s="207">
        <v>-3582960.1868630126</v>
      </c>
      <c r="CG217" s="207">
        <v>1202482.2388194306</v>
      </c>
      <c r="CH217" s="207">
        <v>1544386.4918014545</v>
      </c>
      <c r="CI217" s="207">
        <v>0</v>
      </c>
      <c r="CJ217" s="207">
        <v>1153358.3348749618</v>
      </c>
      <c r="CK217" s="207">
        <v>-1177382</v>
      </c>
      <c r="CL217" s="207">
        <v>936860.3099999999</v>
      </c>
      <c r="CM217" s="207">
        <v>635558.4538</v>
      </c>
      <c r="CN217" s="207">
        <v>301301.8561999999</v>
      </c>
      <c r="CO217" s="207">
        <v>28926653.984694935</v>
      </c>
      <c r="CP217" s="207">
        <v>34767983.20763087</v>
      </c>
      <c r="CQ217" s="207">
        <v>29021</v>
      </c>
    </row>
    <row r="218" spans="1:95" ht="11.25">
      <c r="A218" s="207">
        <v>697</v>
      </c>
      <c r="B218" s="207" t="s">
        <v>274</v>
      </c>
      <c r="C218" s="207">
        <v>1288</v>
      </c>
      <c r="D218" s="207">
        <v>5366817.24</v>
      </c>
      <c r="E218" s="207">
        <v>3036188.3154623206</v>
      </c>
      <c r="F218" s="207">
        <v>762061.0019349725</v>
      </c>
      <c r="G218" s="207">
        <v>9165066.557397293</v>
      </c>
      <c r="H218" s="207">
        <v>3664.46</v>
      </c>
      <c r="I218" s="207">
        <v>4719824.48</v>
      </c>
      <c r="J218" s="207">
        <v>4445242.0773972925</v>
      </c>
      <c r="K218" s="207">
        <v>213816.0139533738</v>
      </c>
      <c r="L218" s="207">
        <v>42008.59133745154</v>
      </c>
      <c r="M218" s="207">
        <v>0</v>
      </c>
      <c r="N218" s="207">
        <v>4701066.682688118</v>
      </c>
      <c r="O218" s="207">
        <v>934556.4507756435</v>
      </c>
      <c r="P218" s="207">
        <v>5635623.133463762</v>
      </c>
      <c r="Q218" s="207">
        <v>51</v>
      </c>
      <c r="R218" s="207">
        <v>13</v>
      </c>
      <c r="S218" s="207">
        <v>57</v>
      </c>
      <c r="T218" s="207">
        <v>30</v>
      </c>
      <c r="U218" s="207">
        <v>29</v>
      </c>
      <c r="V218" s="207">
        <v>637</v>
      </c>
      <c r="W218" s="207">
        <v>244</v>
      </c>
      <c r="X218" s="207">
        <v>123</v>
      </c>
      <c r="Y218" s="207">
        <v>104</v>
      </c>
      <c r="Z218" s="207">
        <v>0</v>
      </c>
      <c r="AA218" s="207">
        <v>0</v>
      </c>
      <c r="AB218" s="207">
        <v>1277</v>
      </c>
      <c r="AC218" s="207">
        <v>11</v>
      </c>
      <c r="AD218" s="207">
        <v>471</v>
      </c>
      <c r="AE218" s="481">
        <v>1.995250806043369</v>
      </c>
      <c r="AF218" s="207">
        <v>3036188.3154623206</v>
      </c>
      <c r="AG218" s="207" t="e">
        <v>#DIV/0!</v>
      </c>
      <c r="AH218" s="207" t="e">
        <v>#DIV/0!</v>
      </c>
      <c r="AI218" s="207" t="e">
        <v>#DIV/0!</v>
      </c>
      <c r="AJ218" s="175">
        <v>53</v>
      </c>
      <c r="AK218" s="175">
        <v>540</v>
      </c>
      <c r="AL218" s="175">
        <v>1.0060193836664426</v>
      </c>
      <c r="AM218" s="175">
        <v>11</v>
      </c>
      <c r="AN218" s="175">
        <v>0.008540372670807454</v>
      </c>
      <c r="AO218" s="175">
        <v>0.005259293560344457</v>
      </c>
      <c r="AP218" s="175">
        <v>0</v>
      </c>
      <c r="AQ218" s="175">
        <v>0</v>
      </c>
      <c r="AR218" s="175">
        <v>0</v>
      </c>
      <c r="AS218" s="175">
        <v>0</v>
      </c>
      <c r="AT218" s="175">
        <v>0</v>
      </c>
      <c r="AU218" s="175">
        <v>835.64</v>
      </c>
      <c r="AV218" s="175">
        <v>1.5413335886266815</v>
      </c>
      <c r="AW218" s="175">
        <v>11.775855839932206</v>
      </c>
      <c r="AX218" s="175">
        <v>30</v>
      </c>
      <c r="AY218" s="175">
        <v>285</v>
      </c>
      <c r="AZ218" s="175">
        <v>0.10526315789473684</v>
      </c>
      <c r="BA218" s="175">
        <v>0.044079321810502343</v>
      </c>
      <c r="BB218" s="175">
        <v>0.667666</v>
      </c>
      <c r="BC218" s="207">
        <v>337</v>
      </c>
      <c r="BD218" s="175">
        <v>457</v>
      </c>
      <c r="BE218" s="175">
        <v>0.737417943107221</v>
      </c>
      <c r="BF218" s="175">
        <v>0.3285110605161279</v>
      </c>
      <c r="BG218" s="175">
        <v>0</v>
      </c>
      <c r="BH218" s="175">
        <v>0</v>
      </c>
      <c r="BI218" s="207">
        <v>0</v>
      </c>
      <c r="BJ218" s="207">
        <v>-309.12</v>
      </c>
      <c r="BK218" s="207">
        <v>-5280.799999999999</v>
      </c>
      <c r="BL218" s="207">
        <v>-360.64000000000004</v>
      </c>
      <c r="BM218" s="207">
        <v>0</v>
      </c>
      <c r="BN218" s="207">
        <v>0</v>
      </c>
      <c r="BO218" s="207">
        <v>6115</v>
      </c>
      <c r="BP218" s="207">
        <v>2277.5353937282707</v>
      </c>
      <c r="BQ218" s="207">
        <v>-54817.280000000006</v>
      </c>
      <c r="BR218" s="207">
        <v>104403.79041090794</v>
      </c>
      <c r="BS218" s="207">
        <v>160754</v>
      </c>
      <c r="BT218" s="207">
        <v>49462</v>
      </c>
      <c r="BU218" s="207">
        <v>124485.65817589301</v>
      </c>
      <c r="BV218" s="207">
        <v>7172.206036784499</v>
      </c>
      <c r="BW218" s="207">
        <v>22496.753395076463</v>
      </c>
      <c r="BX218" s="207">
        <v>55433.95561615519</v>
      </c>
      <c r="BY218" s="207">
        <v>80855.7585815372</v>
      </c>
      <c r="BZ218" s="207">
        <v>122685.15994105836</v>
      </c>
      <c r="CA218" s="207">
        <v>38672.47767793816</v>
      </c>
      <c r="CB218" s="207">
        <v>64114.954434536216</v>
      </c>
      <c r="CC218" s="207">
        <v>115.92</v>
      </c>
      <c r="CD218" s="207">
        <v>-12451.403834439503</v>
      </c>
      <c r="CE218" s="207">
        <v>179955.61594372327</v>
      </c>
      <c r="CF218" s="207">
        <v>42008.59133745154</v>
      </c>
      <c r="CG218" s="207">
        <v>80497.18936725482</v>
      </c>
      <c r="CH218" s="207">
        <v>91826.81464119306</v>
      </c>
      <c r="CI218" s="207">
        <v>0</v>
      </c>
      <c r="CJ218" s="207">
        <v>934556.4507756435</v>
      </c>
      <c r="CK218" s="207">
        <v>-265018</v>
      </c>
      <c r="CL218" s="207">
        <v>38175.2</v>
      </c>
      <c r="CM218" s="207">
        <v>21814.4</v>
      </c>
      <c r="CN218" s="207">
        <v>16360.799999999996</v>
      </c>
      <c r="CO218" s="207">
        <v>5370605.133463762</v>
      </c>
      <c r="CP218" s="207">
        <v>5804771.283528687</v>
      </c>
      <c r="CQ218" s="207">
        <v>1317</v>
      </c>
    </row>
    <row r="219" spans="1:95" ht="11.25">
      <c r="A219" s="207">
        <v>698</v>
      </c>
      <c r="B219" s="207" t="s">
        <v>275</v>
      </c>
      <c r="C219" s="207">
        <v>62922</v>
      </c>
      <c r="D219" s="207">
        <v>208100010.85</v>
      </c>
      <c r="E219" s="207">
        <v>73715125.9194706</v>
      </c>
      <c r="F219" s="207">
        <v>17013832.818259668</v>
      </c>
      <c r="G219" s="207">
        <v>298828969.5877302</v>
      </c>
      <c r="H219" s="207">
        <v>3664.46</v>
      </c>
      <c r="I219" s="207">
        <v>230575152.12</v>
      </c>
      <c r="J219" s="207">
        <v>68253817.46773022</v>
      </c>
      <c r="K219" s="207">
        <v>2367165.898800201</v>
      </c>
      <c r="L219" s="207">
        <v>-7416899.35360521</v>
      </c>
      <c r="M219" s="207">
        <v>0</v>
      </c>
      <c r="N219" s="207">
        <v>63204084.01292521</v>
      </c>
      <c r="O219" s="207">
        <v>23366001.341562882</v>
      </c>
      <c r="P219" s="207">
        <v>86570085.35448809</v>
      </c>
      <c r="Q219" s="207">
        <v>3839</v>
      </c>
      <c r="R219" s="207">
        <v>728</v>
      </c>
      <c r="S219" s="207">
        <v>4496</v>
      </c>
      <c r="T219" s="207">
        <v>1917</v>
      </c>
      <c r="U219" s="207">
        <v>2108</v>
      </c>
      <c r="V219" s="207">
        <v>37903</v>
      </c>
      <c r="W219" s="207">
        <v>6824</v>
      </c>
      <c r="X219" s="207">
        <v>3709</v>
      </c>
      <c r="Y219" s="207">
        <v>1398</v>
      </c>
      <c r="Z219" s="207">
        <v>128</v>
      </c>
      <c r="AA219" s="207">
        <v>168</v>
      </c>
      <c r="AB219" s="207">
        <v>60524</v>
      </c>
      <c r="AC219" s="207">
        <v>2102</v>
      </c>
      <c r="AD219" s="207">
        <v>11931</v>
      </c>
      <c r="AE219" s="481">
        <v>0.9916050884788424</v>
      </c>
      <c r="AF219" s="207">
        <v>73715125.9194706</v>
      </c>
      <c r="AG219" s="207" t="e">
        <v>#DIV/0!</v>
      </c>
      <c r="AH219" s="207" t="e">
        <v>#DIV/0!</v>
      </c>
      <c r="AI219" s="207" t="e">
        <v>#DIV/0!</v>
      </c>
      <c r="AJ219" s="175">
        <v>3477</v>
      </c>
      <c r="AK219" s="175">
        <v>30373</v>
      </c>
      <c r="AL219" s="175">
        <v>1.173386911031607</v>
      </c>
      <c r="AM219" s="175">
        <v>2102</v>
      </c>
      <c r="AN219" s="175">
        <v>0.033406439719017196</v>
      </c>
      <c r="AO219" s="175">
        <v>0.0301253606085542</v>
      </c>
      <c r="AP219" s="175">
        <v>0</v>
      </c>
      <c r="AQ219" s="175">
        <v>128</v>
      </c>
      <c r="AR219" s="175">
        <v>168</v>
      </c>
      <c r="AS219" s="175">
        <v>0</v>
      </c>
      <c r="AT219" s="175">
        <v>0</v>
      </c>
      <c r="AU219" s="175">
        <v>7581.51</v>
      </c>
      <c r="AV219" s="175">
        <v>8.299402097998946</v>
      </c>
      <c r="AW219" s="175">
        <v>2.1869674377253525</v>
      </c>
      <c r="AX219" s="175">
        <v>1837</v>
      </c>
      <c r="AY219" s="175">
        <v>18588</v>
      </c>
      <c r="AZ219" s="175">
        <v>0.09882720034430816</v>
      </c>
      <c r="BA219" s="175">
        <v>0.03764336426007366</v>
      </c>
      <c r="BB219" s="175">
        <v>0</v>
      </c>
      <c r="BC219" s="207">
        <v>25343</v>
      </c>
      <c r="BD219" s="175">
        <v>25811</v>
      </c>
      <c r="BE219" s="175">
        <v>0.9818681957305025</v>
      </c>
      <c r="BF219" s="175">
        <v>0.5729613131394095</v>
      </c>
      <c r="BG219" s="175">
        <v>0</v>
      </c>
      <c r="BH219" s="175">
        <v>168</v>
      </c>
      <c r="BI219" s="207">
        <v>0</v>
      </c>
      <c r="BJ219" s="207">
        <v>-15101.279999999999</v>
      </c>
      <c r="BK219" s="207">
        <v>-257980.19999999998</v>
      </c>
      <c r="BL219" s="207">
        <v>-17618.160000000003</v>
      </c>
      <c r="BM219" s="207">
        <v>0</v>
      </c>
      <c r="BN219" s="207">
        <v>0</v>
      </c>
      <c r="BO219" s="207">
        <v>760982</v>
      </c>
      <c r="BP219" s="207">
        <v>-3781715.4897175813</v>
      </c>
      <c r="BQ219" s="207">
        <v>-2677960.3200000003</v>
      </c>
      <c r="BR219" s="207">
        <v>-851137.8510162681</v>
      </c>
      <c r="BS219" s="207">
        <v>4170263</v>
      </c>
      <c r="BT219" s="207">
        <v>1400370</v>
      </c>
      <c r="BU219" s="207">
        <v>3556984.1957876254</v>
      </c>
      <c r="BV219" s="207">
        <v>130689.61392386896</v>
      </c>
      <c r="BW219" s="207">
        <v>170271.45091107712</v>
      </c>
      <c r="BX219" s="207">
        <v>1530495.8688007353</v>
      </c>
      <c r="BY219" s="207">
        <v>3039795.0447149575</v>
      </c>
      <c r="BZ219" s="207">
        <v>4487658.940840116</v>
      </c>
      <c r="CA219" s="207">
        <v>1486426.2087844117</v>
      </c>
      <c r="CB219" s="207">
        <v>2651524.056084899</v>
      </c>
      <c r="CC219" s="207">
        <v>5662.98</v>
      </c>
      <c r="CD219" s="207">
        <v>612706.1658298711</v>
      </c>
      <c r="CE219" s="207">
        <v>3215134.276112371</v>
      </c>
      <c r="CF219" s="207">
        <v>-7416899.35360521</v>
      </c>
      <c r="CG219" s="207">
        <v>2624628.2012987677</v>
      </c>
      <c r="CH219" s="207">
        <v>3672122.015404876</v>
      </c>
      <c r="CI219" s="207">
        <v>0</v>
      </c>
      <c r="CJ219" s="207">
        <v>23366001.341562882</v>
      </c>
      <c r="CK219" s="207">
        <v>-3743706</v>
      </c>
      <c r="CL219" s="207">
        <v>512911.0800000001</v>
      </c>
      <c r="CM219" s="207">
        <v>5339685.203199999</v>
      </c>
      <c r="CN219" s="207">
        <v>-4826774.123199999</v>
      </c>
      <c r="CO219" s="207">
        <v>82826379.35448809</v>
      </c>
      <c r="CP219" s="207">
        <v>94976517.74351336</v>
      </c>
      <c r="CQ219" s="207">
        <v>62420</v>
      </c>
    </row>
    <row r="220" spans="1:95" ht="11.25">
      <c r="A220" s="207">
        <v>700</v>
      </c>
      <c r="B220" s="207" t="s">
        <v>276</v>
      </c>
      <c r="C220" s="207">
        <v>5099</v>
      </c>
      <c r="D220" s="207">
        <v>19667508.54</v>
      </c>
      <c r="E220" s="207">
        <v>7561281.613607965</v>
      </c>
      <c r="F220" s="207">
        <v>1686252.480597342</v>
      </c>
      <c r="G220" s="207">
        <v>28915042.634205308</v>
      </c>
      <c r="H220" s="207">
        <v>3664.46</v>
      </c>
      <c r="I220" s="207">
        <v>18685081.54</v>
      </c>
      <c r="J220" s="207">
        <v>10229961.094205309</v>
      </c>
      <c r="K220" s="207">
        <v>43050.72878744166</v>
      </c>
      <c r="L220" s="207">
        <v>-419858.73427656677</v>
      </c>
      <c r="M220" s="207">
        <v>0</v>
      </c>
      <c r="N220" s="207">
        <v>9853153.088716183</v>
      </c>
      <c r="O220" s="207">
        <v>851684.5362938944</v>
      </c>
      <c r="P220" s="207">
        <v>10704837.625010077</v>
      </c>
      <c r="Q220" s="207">
        <v>192</v>
      </c>
      <c r="R220" s="207">
        <v>34</v>
      </c>
      <c r="S220" s="207">
        <v>320</v>
      </c>
      <c r="T220" s="207">
        <v>162</v>
      </c>
      <c r="U220" s="207">
        <v>124</v>
      </c>
      <c r="V220" s="207">
        <v>2566</v>
      </c>
      <c r="W220" s="207">
        <v>906</v>
      </c>
      <c r="X220" s="207">
        <v>527</v>
      </c>
      <c r="Y220" s="207">
        <v>268</v>
      </c>
      <c r="Z220" s="207">
        <v>10</v>
      </c>
      <c r="AA220" s="207">
        <v>0</v>
      </c>
      <c r="AB220" s="207">
        <v>4938</v>
      </c>
      <c r="AC220" s="207">
        <v>151</v>
      </c>
      <c r="AD220" s="207">
        <v>1701</v>
      </c>
      <c r="AE220" s="481">
        <v>1.255148336102389</v>
      </c>
      <c r="AF220" s="207">
        <v>7561281.613607965</v>
      </c>
      <c r="AG220" s="207" t="e">
        <v>#DIV/0!</v>
      </c>
      <c r="AH220" s="207" t="e">
        <v>#DIV/0!</v>
      </c>
      <c r="AI220" s="207" t="e">
        <v>#DIV/0!</v>
      </c>
      <c r="AJ220" s="175">
        <v>220</v>
      </c>
      <c r="AK220" s="175">
        <v>2149</v>
      </c>
      <c r="AL220" s="175">
        <v>1.0493261699568326</v>
      </c>
      <c r="AM220" s="175">
        <v>151</v>
      </c>
      <c r="AN220" s="175">
        <v>0.029613649735242203</v>
      </c>
      <c r="AO220" s="175">
        <v>0.026332570624779207</v>
      </c>
      <c r="AP220" s="175">
        <v>0</v>
      </c>
      <c r="AQ220" s="175">
        <v>10</v>
      </c>
      <c r="AR220" s="175">
        <v>0</v>
      </c>
      <c r="AS220" s="175">
        <v>3</v>
      </c>
      <c r="AT220" s="175">
        <v>349</v>
      </c>
      <c r="AU220" s="175">
        <v>942.27</v>
      </c>
      <c r="AV220" s="175">
        <v>5.411400129474567</v>
      </c>
      <c r="AW220" s="175">
        <v>3.3541267891190927</v>
      </c>
      <c r="AX220" s="175">
        <v>187</v>
      </c>
      <c r="AY220" s="175">
        <v>1428</v>
      </c>
      <c r="AZ220" s="175">
        <v>0.13095238095238096</v>
      </c>
      <c r="BA220" s="175">
        <v>0.06976854486814646</v>
      </c>
      <c r="BB220" s="175">
        <v>0</v>
      </c>
      <c r="BC220" s="207">
        <v>982</v>
      </c>
      <c r="BD220" s="175">
        <v>1827</v>
      </c>
      <c r="BE220" s="175">
        <v>0.5374931581828134</v>
      </c>
      <c r="BF220" s="175">
        <v>0.1285862755917203</v>
      </c>
      <c r="BG220" s="175">
        <v>0</v>
      </c>
      <c r="BH220" s="175">
        <v>0</v>
      </c>
      <c r="BI220" s="207">
        <v>0</v>
      </c>
      <c r="BJ220" s="207">
        <v>-1223.76</v>
      </c>
      <c r="BK220" s="207">
        <v>-20905.899999999998</v>
      </c>
      <c r="BL220" s="207">
        <v>-1427.72</v>
      </c>
      <c r="BM220" s="207">
        <v>0</v>
      </c>
      <c r="BN220" s="207">
        <v>0</v>
      </c>
      <c r="BO220" s="207">
        <v>56412</v>
      </c>
      <c r="BP220" s="207">
        <v>-143408.48975830752</v>
      </c>
      <c r="BQ220" s="207">
        <v>-217013.44</v>
      </c>
      <c r="BR220" s="207">
        <v>-18757.48855673708</v>
      </c>
      <c r="BS220" s="207">
        <v>450007</v>
      </c>
      <c r="BT220" s="207">
        <v>136482</v>
      </c>
      <c r="BU220" s="207">
        <v>271197.13744083105</v>
      </c>
      <c r="BV220" s="207">
        <v>13584.735741688815</v>
      </c>
      <c r="BW220" s="207">
        <v>29722.57333317358</v>
      </c>
      <c r="BX220" s="207">
        <v>156223.5218588037</v>
      </c>
      <c r="BY220" s="207">
        <v>258715.99132247956</v>
      </c>
      <c r="BZ220" s="207">
        <v>425231.14270262397</v>
      </c>
      <c r="CA220" s="207">
        <v>110087.1294553271</v>
      </c>
      <c r="CB220" s="207">
        <v>194251.75467668803</v>
      </c>
      <c r="CC220" s="207">
        <v>458.90999999999997</v>
      </c>
      <c r="CD220" s="207">
        <v>-18445.65828347118</v>
      </c>
      <c r="CE220" s="207">
        <v>278677.8854817408</v>
      </c>
      <c r="CF220" s="207">
        <v>-419858.73427656677</v>
      </c>
      <c r="CG220" s="207">
        <v>253962.11232194913</v>
      </c>
      <c r="CH220" s="207">
        <v>252238.9025147256</v>
      </c>
      <c r="CI220" s="207">
        <v>0</v>
      </c>
      <c r="CJ220" s="207">
        <v>851684.5362938944</v>
      </c>
      <c r="CK220" s="207">
        <v>-1077427</v>
      </c>
      <c r="CL220" s="207">
        <v>122774.17000000001</v>
      </c>
      <c r="CM220" s="207">
        <v>199151.83800000002</v>
      </c>
      <c r="CN220" s="207">
        <v>-76377.668</v>
      </c>
      <c r="CO220" s="207">
        <v>9627410.625010077</v>
      </c>
      <c r="CP220" s="207">
        <v>11183395.805062057</v>
      </c>
      <c r="CQ220" s="207">
        <v>5218</v>
      </c>
    </row>
    <row r="221" spans="1:95" ht="11.25">
      <c r="A221" s="207">
        <v>702</v>
      </c>
      <c r="B221" s="207" t="s">
        <v>277</v>
      </c>
      <c r="C221" s="207">
        <v>4398</v>
      </c>
      <c r="D221" s="207">
        <v>16975462.490000002</v>
      </c>
      <c r="E221" s="207">
        <v>7476527.148974112</v>
      </c>
      <c r="F221" s="207">
        <v>1084316.0468603582</v>
      </c>
      <c r="G221" s="207">
        <v>25536305.685834475</v>
      </c>
      <c r="H221" s="207">
        <v>3664.46</v>
      </c>
      <c r="I221" s="207">
        <v>16116295.08</v>
      </c>
      <c r="J221" s="207">
        <v>9420010.605834475</v>
      </c>
      <c r="K221" s="207">
        <v>441351.3261740246</v>
      </c>
      <c r="L221" s="207">
        <v>-451835.6888054361</v>
      </c>
      <c r="M221" s="207">
        <v>0</v>
      </c>
      <c r="N221" s="207">
        <v>9409526.243203063</v>
      </c>
      <c r="O221" s="207">
        <v>2734335.4145864006</v>
      </c>
      <c r="P221" s="207">
        <v>12143861.657789463</v>
      </c>
      <c r="Q221" s="207">
        <v>184</v>
      </c>
      <c r="R221" s="207">
        <v>23</v>
      </c>
      <c r="S221" s="207">
        <v>237</v>
      </c>
      <c r="T221" s="207">
        <v>129</v>
      </c>
      <c r="U221" s="207">
        <v>127</v>
      </c>
      <c r="V221" s="207">
        <v>2133</v>
      </c>
      <c r="W221" s="207">
        <v>826</v>
      </c>
      <c r="X221" s="207">
        <v>511</v>
      </c>
      <c r="Y221" s="207">
        <v>228</v>
      </c>
      <c r="Z221" s="207">
        <v>12</v>
      </c>
      <c r="AA221" s="207">
        <v>1</v>
      </c>
      <c r="AB221" s="207">
        <v>4320</v>
      </c>
      <c r="AC221" s="207">
        <v>65</v>
      </c>
      <c r="AD221" s="207">
        <v>1565</v>
      </c>
      <c r="AE221" s="481">
        <v>1.438895793659746</v>
      </c>
      <c r="AF221" s="207">
        <v>7476527.148974112</v>
      </c>
      <c r="AG221" s="207" t="e">
        <v>#DIV/0!</v>
      </c>
      <c r="AH221" s="207" t="e">
        <v>#DIV/0!</v>
      </c>
      <c r="AI221" s="207" t="e">
        <v>#DIV/0!</v>
      </c>
      <c r="AJ221" s="175">
        <v>123</v>
      </c>
      <c r="AK221" s="175">
        <v>1793</v>
      </c>
      <c r="AL221" s="175">
        <v>0.703151748025604</v>
      </c>
      <c r="AM221" s="175">
        <v>65</v>
      </c>
      <c r="AN221" s="175">
        <v>0.01477944520236471</v>
      </c>
      <c r="AO221" s="175">
        <v>0.011498366091901715</v>
      </c>
      <c r="AP221" s="175">
        <v>0</v>
      </c>
      <c r="AQ221" s="175">
        <v>12</v>
      </c>
      <c r="AR221" s="175">
        <v>1</v>
      </c>
      <c r="AS221" s="175">
        <v>0</v>
      </c>
      <c r="AT221" s="175">
        <v>0</v>
      </c>
      <c r="AU221" s="175">
        <v>776.98</v>
      </c>
      <c r="AV221" s="175">
        <v>5.660377358490566</v>
      </c>
      <c r="AW221" s="175">
        <v>3.2065922448946607</v>
      </c>
      <c r="AX221" s="175">
        <v>152</v>
      </c>
      <c r="AY221" s="175">
        <v>1108</v>
      </c>
      <c r="AZ221" s="175">
        <v>0.1371841155234657</v>
      </c>
      <c r="BA221" s="175">
        <v>0.07600027943923121</v>
      </c>
      <c r="BB221" s="175">
        <v>0.27965</v>
      </c>
      <c r="BC221" s="207">
        <v>1596</v>
      </c>
      <c r="BD221" s="175">
        <v>1571</v>
      </c>
      <c r="BE221" s="175">
        <v>1.0159134309357098</v>
      </c>
      <c r="BF221" s="175">
        <v>0.6070065483446168</v>
      </c>
      <c r="BG221" s="175">
        <v>0</v>
      </c>
      <c r="BH221" s="175">
        <v>1</v>
      </c>
      <c r="BI221" s="207">
        <v>0</v>
      </c>
      <c r="BJ221" s="207">
        <v>-1055.52</v>
      </c>
      <c r="BK221" s="207">
        <v>-18031.8</v>
      </c>
      <c r="BL221" s="207">
        <v>-1231.44</v>
      </c>
      <c r="BM221" s="207">
        <v>0</v>
      </c>
      <c r="BN221" s="207">
        <v>0</v>
      </c>
      <c r="BO221" s="207">
        <v>-29452</v>
      </c>
      <c r="BP221" s="207">
        <v>-91946.56466162157</v>
      </c>
      <c r="BQ221" s="207">
        <v>-187178.88</v>
      </c>
      <c r="BR221" s="207">
        <v>-42497.95249035582</v>
      </c>
      <c r="BS221" s="207">
        <v>482033</v>
      </c>
      <c r="BT221" s="207">
        <v>141231</v>
      </c>
      <c r="BU221" s="207">
        <v>359715.4068817046</v>
      </c>
      <c r="BV221" s="207">
        <v>16850.194763104068</v>
      </c>
      <c r="BW221" s="207">
        <v>65127.400944814086</v>
      </c>
      <c r="BX221" s="207">
        <v>181748.09925467972</v>
      </c>
      <c r="BY221" s="207">
        <v>240034.11603973378</v>
      </c>
      <c r="BZ221" s="207">
        <v>413638.0373383276</v>
      </c>
      <c r="CA221" s="207">
        <v>119454.53586719323</v>
      </c>
      <c r="CB221" s="207">
        <v>216746.83981150473</v>
      </c>
      <c r="CC221" s="207">
        <v>395.82</v>
      </c>
      <c r="CD221" s="207">
        <v>-38165.26628587129</v>
      </c>
      <c r="CE221" s="207">
        <v>118921.13585618553</v>
      </c>
      <c r="CF221" s="207">
        <v>-451835.6888054361</v>
      </c>
      <c r="CG221" s="207">
        <v>224286.51463241264</v>
      </c>
      <c r="CH221" s="207">
        <v>282917.0754235495</v>
      </c>
      <c r="CI221" s="207">
        <v>0</v>
      </c>
      <c r="CJ221" s="207">
        <v>2734335.4145864006</v>
      </c>
      <c r="CK221" s="207">
        <v>-697890</v>
      </c>
      <c r="CL221" s="207">
        <v>32789.770000000004</v>
      </c>
      <c r="CM221" s="207">
        <v>90212.08780000001</v>
      </c>
      <c r="CN221" s="207">
        <v>-57422.317800000004</v>
      </c>
      <c r="CO221" s="207">
        <v>11445971.657789463</v>
      </c>
      <c r="CP221" s="207">
        <v>13059213.707653679</v>
      </c>
      <c r="CQ221" s="207">
        <v>4459</v>
      </c>
    </row>
    <row r="222" spans="1:95" ht="11.25">
      <c r="A222" s="207">
        <v>704</v>
      </c>
      <c r="B222" s="207" t="s">
        <v>278</v>
      </c>
      <c r="C222" s="207">
        <v>6251</v>
      </c>
      <c r="D222" s="207">
        <v>22474769.99</v>
      </c>
      <c r="E222" s="207">
        <v>4871068.863944993</v>
      </c>
      <c r="F222" s="207">
        <v>673302.2743045198</v>
      </c>
      <c r="G222" s="207">
        <v>28019141.12824951</v>
      </c>
      <c r="H222" s="207">
        <v>3664.46</v>
      </c>
      <c r="I222" s="207">
        <v>22906539.46</v>
      </c>
      <c r="J222" s="207">
        <v>5112601.66824951</v>
      </c>
      <c r="K222" s="207">
        <v>85321.92488076923</v>
      </c>
      <c r="L222" s="207">
        <v>-604529.9428089878</v>
      </c>
      <c r="M222" s="207">
        <v>0</v>
      </c>
      <c r="N222" s="207">
        <v>4593393.650321292</v>
      </c>
      <c r="O222" s="207">
        <v>114511.96200369592</v>
      </c>
      <c r="P222" s="207">
        <v>4707905.612324988</v>
      </c>
      <c r="Q222" s="207">
        <v>462</v>
      </c>
      <c r="R222" s="207">
        <v>99</v>
      </c>
      <c r="S222" s="207">
        <v>505</v>
      </c>
      <c r="T222" s="207">
        <v>256</v>
      </c>
      <c r="U222" s="207">
        <v>246</v>
      </c>
      <c r="V222" s="207">
        <v>3505</v>
      </c>
      <c r="W222" s="207">
        <v>726</v>
      </c>
      <c r="X222" s="207">
        <v>320</v>
      </c>
      <c r="Y222" s="207">
        <v>132</v>
      </c>
      <c r="Z222" s="207">
        <v>102</v>
      </c>
      <c r="AA222" s="207">
        <v>0</v>
      </c>
      <c r="AB222" s="207">
        <v>6016</v>
      </c>
      <c r="AC222" s="207">
        <v>133</v>
      </c>
      <c r="AD222" s="207">
        <v>1178</v>
      </c>
      <c r="AE222" s="481">
        <v>0.6595677674188397</v>
      </c>
      <c r="AF222" s="207">
        <v>4871068.863944993</v>
      </c>
      <c r="AG222" s="207" t="e">
        <v>#DIV/0!</v>
      </c>
      <c r="AH222" s="207" t="e">
        <v>#DIV/0!</v>
      </c>
      <c r="AI222" s="207" t="e">
        <v>#DIV/0!</v>
      </c>
      <c r="AJ222" s="175">
        <v>147</v>
      </c>
      <c r="AK222" s="175">
        <v>3053</v>
      </c>
      <c r="AL222" s="175">
        <v>0.493531377583708</v>
      </c>
      <c r="AM222" s="175">
        <v>133</v>
      </c>
      <c r="AN222" s="175">
        <v>0.02127659574468085</v>
      </c>
      <c r="AO222" s="175">
        <v>0.017995516634217855</v>
      </c>
      <c r="AP222" s="175">
        <v>0</v>
      </c>
      <c r="AQ222" s="175">
        <v>102</v>
      </c>
      <c r="AR222" s="175">
        <v>0</v>
      </c>
      <c r="AS222" s="175">
        <v>0</v>
      </c>
      <c r="AT222" s="175">
        <v>0</v>
      </c>
      <c r="AU222" s="175">
        <v>127.15</v>
      </c>
      <c r="AV222" s="175">
        <v>49.162406606370425</v>
      </c>
      <c r="AW222" s="175">
        <v>0.3691951512105439</v>
      </c>
      <c r="AX222" s="175">
        <v>202</v>
      </c>
      <c r="AY222" s="175">
        <v>2236</v>
      </c>
      <c r="AZ222" s="175">
        <v>0.09033989266547406</v>
      </c>
      <c r="BA222" s="175">
        <v>0.029156056581239563</v>
      </c>
      <c r="BB222" s="175">
        <v>0</v>
      </c>
      <c r="BC222" s="207">
        <v>1727</v>
      </c>
      <c r="BD222" s="175">
        <v>2800</v>
      </c>
      <c r="BE222" s="175">
        <v>0.6167857142857143</v>
      </c>
      <c r="BF222" s="175">
        <v>0.20787883169462118</v>
      </c>
      <c r="BG222" s="175">
        <v>0</v>
      </c>
      <c r="BH222" s="175">
        <v>0</v>
      </c>
      <c r="BI222" s="207">
        <v>0</v>
      </c>
      <c r="BJ222" s="207">
        <v>-1500.24</v>
      </c>
      <c r="BK222" s="207">
        <v>-25629.1</v>
      </c>
      <c r="BL222" s="207">
        <v>-1750.2800000000002</v>
      </c>
      <c r="BM222" s="207">
        <v>0</v>
      </c>
      <c r="BN222" s="207">
        <v>0</v>
      </c>
      <c r="BO222" s="207">
        <v>39883</v>
      </c>
      <c r="BP222" s="207">
        <v>-61070.23403196913</v>
      </c>
      <c r="BQ222" s="207">
        <v>-266042.56</v>
      </c>
      <c r="BR222" s="207">
        <v>-138690.0078582205</v>
      </c>
      <c r="BS222" s="207">
        <v>387043</v>
      </c>
      <c r="BT222" s="207">
        <v>126882</v>
      </c>
      <c r="BU222" s="207">
        <v>241368.28376477773</v>
      </c>
      <c r="BV222" s="207">
        <v>4103.035289727531</v>
      </c>
      <c r="BW222" s="207">
        <v>27149.87359443658</v>
      </c>
      <c r="BX222" s="207">
        <v>119934.73479326064</v>
      </c>
      <c r="BY222" s="207">
        <v>275731.56641233416</v>
      </c>
      <c r="BZ222" s="207">
        <v>473017.7979280093</v>
      </c>
      <c r="CA222" s="207">
        <v>126067.88854329768</v>
      </c>
      <c r="CB222" s="207">
        <v>214989.74805185717</v>
      </c>
      <c r="CC222" s="207">
        <v>562.59</v>
      </c>
      <c r="CD222" s="207">
        <v>-16950.780255883357</v>
      </c>
      <c r="CE222" s="207">
        <v>137086.66122298117</v>
      </c>
      <c r="CF222" s="207">
        <v>-604529.9428089878</v>
      </c>
      <c r="CG222" s="207">
        <v>246093.36933708502</v>
      </c>
      <c r="CH222" s="207">
        <v>305707.6551446382</v>
      </c>
      <c r="CI222" s="207">
        <v>0</v>
      </c>
      <c r="CJ222" s="207">
        <v>114511.96200369592</v>
      </c>
      <c r="CK222" s="207">
        <v>-1198301</v>
      </c>
      <c r="CL222" s="207">
        <v>383251.74</v>
      </c>
      <c r="CM222" s="207">
        <v>371172.01600000006</v>
      </c>
      <c r="CN222" s="207">
        <v>12079.72399999993</v>
      </c>
      <c r="CO222" s="207">
        <v>3509604.6123249875</v>
      </c>
      <c r="CP222" s="207">
        <v>4525106.743453989</v>
      </c>
      <c r="CQ222" s="207">
        <v>6263</v>
      </c>
    </row>
    <row r="223" spans="1:95" ht="11.25">
      <c r="A223" s="207">
        <v>707</v>
      </c>
      <c r="B223" s="207" t="s">
        <v>279</v>
      </c>
      <c r="C223" s="207">
        <v>2181</v>
      </c>
      <c r="D223" s="207">
        <v>7887703.43</v>
      </c>
      <c r="E223" s="207">
        <v>4502748.032483604</v>
      </c>
      <c r="F223" s="207">
        <v>978639.5054421051</v>
      </c>
      <c r="G223" s="207">
        <v>13369090.967925709</v>
      </c>
      <c r="H223" s="207">
        <v>3664.46</v>
      </c>
      <c r="I223" s="207">
        <v>7992187.26</v>
      </c>
      <c r="J223" s="207">
        <v>5376903.707925709</v>
      </c>
      <c r="K223" s="207">
        <v>227243.36919609358</v>
      </c>
      <c r="L223" s="207">
        <v>152425.37451617478</v>
      </c>
      <c r="M223" s="207">
        <v>0</v>
      </c>
      <c r="N223" s="207">
        <v>5756572.451637978</v>
      </c>
      <c r="O223" s="207">
        <v>2864466.3221640745</v>
      </c>
      <c r="P223" s="207">
        <v>8621038.773802053</v>
      </c>
      <c r="Q223" s="207">
        <v>62</v>
      </c>
      <c r="R223" s="207">
        <v>18</v>
      </c>
      <c r="S223" s="207">
        <v>81</v>
      </c>
      <c r="T223" s="207">
        <v>58</v>
      </c>
      <c r="U223" s="207">
        <v>48</v>
      </c>
      <c r="V223" s="207">
        <v>1073</v>
      </c>
      <c r="W223" s="207">
        <v>486</v>
      </c>
      <c r="X223" s="207">
        <v>244</v>
      </c>
      <c r="Y223" s="207">
        <v>111</v>
      </c>
      <c r="Z223" s="207">
        <v>3</v>
      </c>
      <c r="AA223" s="207">
        <v>0</v>
      </c>
      <c r="AB223" s="207">
        <v>2106</v>
      </c>
      <c r="AC223" s="207">
        <v>72</v>
      </c>
      <c r="AD223" s="207">
        <v>841</v>
      </c>
      <c r="AE223" s="481">
        <v>1.7474575437229296</v>
      </c>
      <c r="AF223" s="207">
        <v>4502748.032483604</v>
      </c>
      <c r="AG223" s="207" t="e">
        <v>#DIV/0!</v>
      </c>
      <c r="AH223" s="207" t="e">
        <v>#DIV/0!</v>
      </c>
      <c r="AI223" s="207" t="e">
        <v>#DIV/0!</v>
      </c>
      <c r="AJ223" s="175">
        <v>134</v>
      </c>
      <c r="AK223" s="175">
        <v>847</v>
      </c>
      <c r="AL223" s="175">
        <v>1.62160706159595</v>
      </c>
      <c r="AM223" s="175">
        <v>72</v>
      </c>
      <c r="AN223" s="175">
        <v>0.033012379642365884</v>
      </c>
      <c r="AO223" s="175">
        <v>0.02973130053190289</v>
      </c>
      <c r="AP223" s="175">
        <v>0</v>
      </c>
      <c r="AQ223" s="175">
        <v>3</v>
      </c>
      <c r="AR223" s="175">
        <v>0</v>
      </c>
      <c r="AS223" s="175">
        <v>3</v>
      </c>
      <c r="AT223" s="175">
        <v>394</v>
      </c>
      <c r="AU223" s="175">
        <v>427.61</v>
      </c>
      <c r="AV223" s="175">
        <v>5.100441991534342</v>
      </c>
      <c r="AW223" s="175">
        <v>3.558617502373169</v>
      </c>
      <c r="AX223" s="175">
        <v>92</v>
      </c>
      <c r="AY223" s="175">
        <v>521</v>
      </c>
      <c r="AZ223" s="175">
        <v>0.1765834932821497</v>
      </c>
      <c r="BA223" s="175">
        <v>0.1153996571979152</v>
      </c>
      <c r="BB223" s="175">
        <v>0.358666</v>
      </c>
      <c r="BC223" s="207">
        <v>556</v>
      </c>
      <c r="BD223" s="175">
        <v>683</v>
      </c>
      <c r="BE223" s="175">
        <v>0.8140556368960469</v>
      </c>
      <c r="BF223" s="175">
        <v>0.4051487543049538</v>
      </c>
      <c r="BG223" s="175">
        <v>0</v>
      </c>
      <c r="BH223" s="175">
        <v>0</v>
      </c>
      <c r="BI223" s="207">
        <v>0</v>
      </c>
      <c r="BJ223" s="207">
        <v>-523.4399999999999</v>
      </c>
      <c r="BK223" s="207">
        <v>-8942.099999999999</v>
      </c>
      <c r="BL223" s="207">
        <v>-610.6800000000001</v>
      </c>
      <c r="BM223" s="207">
        <v>0</v>
      </c>
      <c r="BN223" s="207">
        <v>0</v>
      </c>
      <c r="BO223" s="207">
        <v>200161</v>
      </c>
      <c r="BP223" s="207">
        <v>-113353.92089579234</v>
      </c>
      <c r="BQ223" s="207">
        <v>-92823.36</v>
      </c>
      <c r="BR223" s="207">
        <v>152966.38367605582</v>
      </c>
      <c r="BS223" s="207">
        <v>302843</v>
      </c>
      <c r="BT223" s="207">
        <v>87748</v>
      </c>
      <c r="BU223" s="207">
        <v>236964.1114700343</v>
      </c>
      <c r="BV223" s="207">
        <v>12584.419830805715</v>
      </c>
      <c r="BW223" s="207">
        <v>39572.3615710929</v>
      </c>
      <c r="BX223" s="207">
        <v>110909.52963556179</v>
      </c>
      <c r="BY223" s="207">
        <v>139255.8619116213</v>
      </c>
      <c r="BZ223" s="207">
        <v>209563.8503822768</v>
      </c>
      <c r="CA223" s="207">
        <v>68562.92220370976</v>
      </c>
      <c r="CB223" s="207">
        <v>114765.60193857328</v>
      </c>
      <c r="CC223" s="207">
        <v>196.29</v>
      </c>
      <c r="CD223" s="207">
        <v>30320.577998270594</v>
      </c>
      <c r="CE223" s="207">
        <v>503224.76541196706</v>
      </c>
      <c r="CF223" s="207">
        <v>152425.37451617478</v>
      </c>
      <c r="CG223" s="207">
        <v>117421.3237376407</v>
      </c>
      <c r="CH223" s="207">
        <v>174968.69180413987</v>
      </c>
      <c r="CI223" s="207">
        <v>0</v>
      </c>
      <c r="CJ223" s="207">
        <v>2864466.3221640745</v>
      </c>
      <c r="CK223" s="207">
        <v>-526691</v>
      </c>
      <c r="CL223" s="207">
        <v>0</v>
      </c>
      <c r="CM223" s="207">
        <v>34630.36</v>
      </c>
      <c r="CN223" s="207">
        <v>-34630.36</v>
      </c>
      <c r="CO223" s="207">
        <v>8094347.773802053</v>
      </c>
      <c r="CP223" s="207">
        <v>8977307.978173953</v>
      </c>
      <c r="CQ223" s="207">
        <v>2240</v>
      </c>
    </row>
    <row r="224" spans="1:95" ht="11.25">
      <c r="A224" s="207">
        <v>729</v>
      </c>
      <c r="B224" s="207" t="s">
        <v>280</v>
      </c>
      <c r="C224" s="207">
        <v>9415</v>
      </c>
      <c r="D224" s="207">
        <v>35657939.55</v>
      </c>
      <c r="E224" s="207">
        <v>14378321.20315456</v>
      </c>
      <c r="F224" s="207">
        <v>2732010.1892724102</v>
      </c>
      <c r="G224" s="207">
        <v>52768270.94242697</v>
      </c>
      <c r="H224" s="207">
        <v>3664.46</v>
      </c>
      <c r="I224" s="207">
        <v>34500890.9</v>
      </c>
      <c r="J224" s="207">
        <v>18267380.042426974</v>
      </c>
      <c r="K224" s="207">
        <v>517920.90557684866</v>
      </c>
      <c r="L224" s="207">
        <v>-336102.7609676856</v>
      </c>
      <c r="M224" s="207">
        <v>0</v>
      </c>
      <c r="N224" s="207">
        <v>18449198.187036134</v>
      </c>
      <c r="O224" s="207">
        <v>8644328.040364511</v>
      </c>
      <c r="P224" s="207">
        <v>27093526.227400646</v>
      </c>
      <c r="Q224" s="207">
        <v>463</v>
      </c>
      <c r="R224" s="207">
        <v>87</v>
      </c>
      <c r="S224" s="207">
        <v>579</v>
      </c>
      <c r="T224" s="207">
        <v>308</v>
      </c>
      <c r="U224" s="207">
        <v>269</v>
      </c>
      <c r="V224" s="207">
        <v>4819</v>
      </c>
      <c r="W224" s="207">
        <v>1550</v>
      </c>
      <c r="X224" s="207">
        <v>925</v>
      </c>
      <c r="Y224" s="207">
        <v>415</v>
      </c>
      <c r="Z224" s="207">
        <v>14</v>
      </c>
      <c r="AA224" s="207">
        <v>0</v>
      </c>
      <c r="AB224" s="207">
        <v>9291</v>
      </c>
      <c r="AC224" s="207">
        <v>110</v>
      </c>
      <c r="AD224" s="207">
        <v>2890</v>
      </c>
      <c r="AE224" s="481">
        <v>1.2926248783919434</v>
      </c>
      <c r="AF224" s="207">
        <v>14378321.20315456</v>
      </c>
      <c r="AG224" s="207" t="e">
        <v>#DIV/0!</v>
      </c>
      <c r="AH224" s="207" t="e">
        <v>#DIV/0!</v>
      </c>
      <c r="AI224" s="207" t="e">
        <v>#DIV/0!</v>
      </c>
      <c r="AJ224" s="175">
        <v>604</v>
      </c>
      <c r="AK224" s="175">
        <v>4143</v>
      </c>
      <c r="AL224" s="175">
        <v>1.4943290668809261</v>
      </c>
      <c r="AM224" s="175">
        <v>110</v>
      </c>
      <c r="AN224" s="175">
        <v>0.01168348380244291</v>
      </c>
      <c r="AO224" s="175">
        <v>0.008402404691979913</v>
      </c>
      <c r="AP224" s="175">
        <v>0</v>
      </c>
      <c r="AQ224" s="175">
        <v>14</v>
      </c>
      <c r="AR224" s="175">
        <v>0</v>
      </c>
      <c r="AS224" s="175">
        <v>0</v>
      </c>
      <c r="AT224" s="175">
        <v>0</v>
      </c>
      <c r="AU224" s="175">
        <v>1251.72</v>
      </c>
      <c r="AV224" s="175">
        <v>7.521650209311987</v>
      </c>
      <c r="AW224" s="175">
        <v>2.4131037253556915</v>
      </c>
      <c r="AX224" s="175">
        <v>391</v>
      </c>
      <c r="AY224" s="175">
        <v>2459</v>
      </c>
      <c r="AZ224" s="175">
        <v>0.15900772671817812</v>
      </c>
      <c r="BA224" s="175">
        <v>0.09782389063394362</v>
      </c>
      <c r="BB224" s="175">
        <v>0.098</v>
      </c>
      <c r="BC224" s="207">
        <v>3020</v>
      </c>
      <c r="BD224" s="175">
        <v>3269</v>
      </c>
      <c r="BE224" s="175">
        <v>0.9238299174059346</v>
      </c>
      <c r="BF224" s="175">
        <v>0.5149230348148415</v>
      </c>
      <c r="BG224" s="175">
        <v>0</v>
      </c>
      <c r="BH224" s="175">
        <v>0</v>
      </c>
      <c r="BI224" s="207">
        <v>0</v>
      </c>
      <c r="BJ224" s="207">
        <v>-2259.6</v>
      </c>
      <c r="BK224" s="207">
        <v>-38601.5</v>
      </c>
      <c r="BL224" s="207">
        <v>-2636.2000000000003</v>
      </c>
      <c r="BM224" s="207">
        <v>0</v>
      </c>
      <c r="BN224" s="207">
        <v>0</v>
      </c>
      <c r="BO224" s="207">
        <v>321957</v>
      </c>
      <c r="BP224" s="207">
        <v>-426342.7594782232</v>
      </c>
      <c r="BQ224" s="207">
        <v>-400702.4</v>
      </c>
      <c r="BR224" s="207">
        <v>251383.7136722952</v>
      </c>
      <c r="BS224" s="207">
        <v>954489</v>
      </c>
      <c r="BT224" s="207">
        <v>293114</v>
      </c>
      <c r="BU224" s="207">
        <v>743309.2555429272</v>
      </c>
      <c r="BV224" s="207">
        <v>41048.66335412597</v>
      </c>
      <c r="BW224" s="207">
        <v>106843.04163109911</v>
      </c>
      <c r="BX224" s="207">
        <v>374059.29699343286</v>
      </c>
      <c r="BY224" s="207">
        <v>564756.2980729024</v>
      </c>
      <c r="BZ224" s="207">
        <v>868628.6008690046</v>
      </c>
      <c r="CA224" s="207">
        <v>262472.32790500263</v>
      </c>
      <c r="CB224" s="207">
        <v>452921.7387245435</v>
      </c>
      <c r="CC224" s="207">
        <v>847.35</v>
      </c>
      <c r="CD224" s="207">
        <v>68276.05174616053</v>
      </c>
      <c r="CE224" s="207">
        <v>1115251.0485105375</v>
      </c>
      <c r="CF224" s="207">
        <v>-336102.7609676856</v>
      </c>
      <c r="CG224" s="207">
        <v>463466.0830920817</v>
      </c>
      <c r="CH224" s="207">
        <v>644898.0347483093</v>
      </c>
      <c r="CI224" s="207">
        <v>0</v>
      </c>
      <c r="CJ224" s="207">
        <v>8644328.040364511</v>
      </c>
      <c r="CK224" s="207">
        <v>-155607</v>
      </c>
      <c r="CL224" s="207">
        <v>95438</v>
      </c>
      <c r="CM224" s="207">
        <v>207945.76800000007</v>
      </c>
      <c r="CN224" s="207">
        <v>-112507.76800000007</v>
      </c>
      <c r="CO224" s="207">
        <v>26937919.227400646</v>
      </c>
      <c r="CP224" s="207">
        <v>29907104.412044976</v>
      </c>
      <c r="CQ224" s="207">
        <v>9589</v>
      </c>
    </row>
    <row r="225" spans="1:95" ht="11.25">
      <c r="A225" s="207">
        <v>732</v>
      </c>
      <c r="B225" s="207" t="s">
        <v>281</v>
      </c>
      <c r="C225" s="207">
        <v>3491</v>
      </c>
      <c r="D225" s="207">
        <v>13074164.149999999</v>
      </c>
      <c r="E225" s="207">
        <v>7047082.374133941</v>
      </c>
      <c r="F225" s="207">
        <v>3580089.3651224948</v>
      </c>
      <c r="G225" s="207">
        <v>23701335.889256433</v>
      </c>
      <c r="H225" s="207">
        <v>3664.46</v>
      </c>
      <c r="I225" s="207">
        <v>12792629.86</v>
      </c>
      <c r="J225" s="207">
        <v>10908706.029256433</v>
      </c>
      <c r="K225" s="207">
        <v>4044189.4873707197</v>
      </c>
      <c r="L225" s="207">
        <v>532932.7695752782</v>
      </c>
      <c r="M225" s="207">
        <v>0</v>
      </c>
      <c r="N225" s="207">
        <v>15485828.28620243</v>
      </c>
      <c r="O225" s="207">
        <v>3136248.8335289527</v>
      </c>
      <c r="P225" s="207">
        <v>18622077.11973138</v>
      </c>
      <c r="Q225" s="207">
        <v>111</v>
      </c>
      <c r="R225" s="207">
        <v>22</v>
      </c>
      <c r="S225" s="207">
        <v>151</v>
      </c>
      <c r="T225" s="207">
        <v>85</v>
      </c>
      <c r="U225" s="207">
        <v>66</v>
      </c>
      <c r="V225" s="207">
        <v>1739</v>
      </c>
      <c r="W225" s="207">
        <v>692</v>
      </c>
      <c r="X225" s="207">
        <v>431</v>
      </c>
      <c r="Y225" s="207">
        <v>194</v>
      </c>
      <c r="Z225" s="207">
        <v>11</v>
      </c>
      <c r="AA225" s="207">
        <v>4</v>
      </c>
      <c r="AB225" s="207">
        <v>3399</v>
      </c>
      <c r="AC225" s="207">
        <v>77</v>
      </c>
      <c r="AD225" s="207">
        <v>1317</v>
      </c>
      <c r="AE225" s="481">
        <v>1.7086147555389744</v>
      </c>
      <c r="AF225" s="207">
        <v>7047082.374133941</v>
      </c>
      <c r="AG225" s="207" t="e">
        <v>#DIV/0!</v>
      </c>
      <c r="AH225" s="207" t="e">
        <v>#DIV/0!</v>
      </c>
      <c r="AI225" s="207" t="e">
        <v>#DIV/0!</v>
      </c>
      <c r="AJ225" s="175">
        <v>222</v>
      </c>
      <c r="AK225" s="175">
        <v>1486</v>
      </c>
      <c r="AL225" s="175">
        <v>1.5312933760879293</v>
      </c>
      <c r="AM225" s="175">
        <v>77</v>
      </c>
      <c r="AN225" s="175">
        <v>0.02205671727298768</v>
      </c>
      <c r="AO225" s="175">
        <v>0.018775638162524685</v>
      </c>
      <c r="AP225" s="175">
        <v>0</v>
      </c>
      <c r="AQ225" s="175">
        <v>11</v>
      </c>
      <c r="AR225" s="175">
        <v>4</v>
      </c>
      <c r="AS225" s="175">
        <v>0</v>
      </c>
      <c r="AT225" s="175">
        <v>0</v>
      </c>
      <c r="AU225" s="175">
        <v>5729.66</v>
      </c>
      <c r="AV225" s="175">
        <v>0.6092857167790061</v>
      </c>
      <c r="AW225" s="175">
        <v>29.789836920625767</v>
      </c>
      <c r="AX225" s="175">
        <v>143</v>
      </c>
      <c r="AY225" s="175">
        <v>800</v>
      </c>
      <c r="AZ225" s="175">
        <v>0.17875</v>
      </c>
      <c r="BA225" s="175">
        <v>0.11756616391576549</v>
      </c>
      <c r="BB225" s="175">
        <v>1.729983</v>
      </c>
      <c r="BC225" s="207">
        <v>1093</v>
      </c>
      <c r="BD225" s="175">
        <v>1147</v>
      </c>
      <c r="BE225" s="175">
        <v>0.952920662598082</v>
      </c>
      <c r="BF225" s="175">
        <v>0.5440137800069889</v>
      </c>
      <c r="BG225" s="175">
        <v>0</v>
      </c>
      <c r="BH225" s="175">
        <v>4</v>
      </c>
      <c r="BI225" s="207">
        <v>0</v>
      </c>
      <c r="BJ225" s="207">
        <v>-837.8399999999999</v>
      </c>
      <c r="BK225" s="207">
        <v>-14313.099999999999</v>
      </c>
      <c r="BL225" s="207">
        <v>-977.4800000000001</v>
      </c>
      <c r="BM225" s="207">
        <v>0</v>
      </c>
      <c r="BN225" s="207">
        <v>0</v>
      </c>
      <c r="BO225" s="207">
        <v>258365</v>
      </c>
      <c r="BP225" s="207">
        <v>-59796.68331646586</v>
      </c>
      <c r="BQ225" s="207">
        <v>-148576.96000000002</v>
      </c>
      <c r="BR225" s="207">
        <v>501435.70851542056</v>
      </c>
      <c r="BS225" s="207">
        <v>397132</v>
      </c>
      <c r="BT225" s="207">
        <v>120884</v>
      </c>
      <c r="BU225" s="207">
        <v>323961.8783023534</v>
      </c>
      <c r="BV225" s="207">
        <v>18056.029456748154</v>
      </c>
      <c r="BW225" s="207">
        <v>65713.15219817025</v>
      </c>
      <c r="BX225" s="207">
        <v>160800.97622708709</v>
      </c>
      <c r="BY225" s="207">
        <v>206884.00489435552</v>
      </c>
      <c r="BZ225" s="207">
        <v>312809.4833913017</v>
      </c>
      <c r="CA225" s="207">
        <v>103830.8701499441</v>
      </c>
      <c r="CB225" s="207">
        <v>177671.04133237439</v>
      </c>
      <c r="CC225" s="207">
        <v>314.19</v>
      </c>
      <c r="CD225" s="207">
        <v>1053.7415134621988</v>
      </c>
      <c r="CE225" s="207">
        <v>972794.622891744</v>
      </c>
      <c r="CF225" s="207">
        <v>532932.7695752782</v>
      </c>
      <c r="CG225" s="207">
        <v>208169.89286286134</v>
      </c>
      <c r="CH225" s="207">
        <v>250146.48641107563</v>
      </c>
      <c r="CI225" s="207">
        <v>0</v>
      </c>
      <c r="CJ225" s="207">
        <v>3136248.8335289527</v>
      </c>
      <c r="CK225" s="207">
        <v>303832</v>
      </c>
      <c r="CL225" s="207">
        <v>21814.4</v>
      </c>
      <c r="CM225" s="207">
        <v>112944.056</v>
      </c>
      <c r="CN225" s="207">
        <v>-91129.65599999999</v>
      </c>
      <c r="CO225" s="207">
        <v>18925909.11973138</v>
      </c>
      <c r="CP225" s="207">
        <v>20027120.721691463</v>
      </c>
      <c r="CQ225" s="207">
        <v>3575</v>
      </c>
    </row>
    <row r="226" spans="1:95" ht="11.25">
      <c r="A226" s="207">
        <v>734</v>
      </c>
      <c r="B226" s="207" t="s">
        <v>282</v>
      </c>
      <c r="C226" s="207">
        <v>52321</v>
      </c>
      <c r="D226" s="207">
        <v>186256140.89999998</v>
      </c>
      <c r="E226" s="207">
        <v>62894648.98697639</v>
      </c>
      <c r="F226" s="207">
        <v>15166296.673912179</v>
      </c>
      <c r="G226" s="207">
        <v>264317086.56088853</v>
      </c>
      <c r="H226" s="207">
        <v>3664.46</v>
      </c>
      <c r="I226" s="207">
        <v>191728211.66</v>
      </c>
      <c r="J226" s="207">
        <v>72588874.90088853</v>
      </c>
      <c r="K226" s="207">
        <v>1733986.6988517726</v>
      </c>
      <c r="L226" s="207">
        <v>-5127240.913120077</v>
      </c>
      <c r="M226" s="207">
        <v>0</v>
      </c>
      <c r="N226" s="207">
        <v>69195620.68662024</v>
      </c>
      <c r="O226" s="207">
        <v>26815578.618813585</v>
      </c>
      <c r="P226" s="207">
        <v>96011199.30543382</v>
      </c>
      <c r="Q226" s="207">
        <v>2444</v>
      </c>
      <c r="R226" s="207">
        <v>499</v>
      </c>
      <c r="S226" s="207">
        <v>3572</v>
      </c>
      <c r="T226" s="207">
        <v>1786</v>
      </c>
      <c r="U226" s="207">
        <v>1869</v>
      </c>
      <c r="V226" s="207">
        <v>28360</v>
      </c>
      <c r="W226" s="207">
        <v>7852</v>
      </c>
      <c r="X226" s="207">
        <v>4190</v>
      </c>
      <c r="Y226" s="207">
        <v>1749</v>
      </c>
      <c r="Z226" s="207">
        <v>588</v>
      </c>
      <c r="AA226" s="207">
        <v>1</v>
      </c>
      <c r="AB226" s="207">
        <v>48563</v>
      </c>
      <c r="AC226" s="207">
        <v>3169</v>
      </c>
      <c r="AD226" s="207">
        <v>13791</v>
      </c>
      <c r="AE226" s="481">
        <v>1.017471644933238</v>
      </c>
      <c r="AF226" s="207">
        <v>62894648.98697639</v>
      </c>
      <c r="AG226" s="207" t="e">
        <v>#DIV/0!</v>
      </c>
      <c r="AH226" s="207" t="e">
        <v>#DIV/0!</v>
      </c>
      <c r="AI226" s="207" t="e">
        <v>#DIV/0!</v>
      </c>
      <c r="AJ226" s="175">
        <v>2777</v>
      </c>
      <c r="AK226" s="175">
        <v>24336</v>
      </c>
      <c r="AL226" s="175">
        <v>1.1696365252491254</v>
      </c>
      <c r="AM226" s="175">
        <v>3169</v>
      </c>
      <c r="AN226" s="175">
        <v>0.06056841421226659</v>
      </c>
      <c r="AO226" s="175">
        <v>0.05728733510180359</v>
      </c>
      <c r="AP226" s="175">
        <v>0</v>
      </c>
      <c r="AQ226" s="175">
        <v>588</v>
      </c>
      <c r="AR226" s="175">
        <v>1</v>
      </c>
      <c r="AS226" s="175">
        <v>3</v>
      </c>
      <c r="AT226" s="175">
        <v>611</v>
      </c>
      <c r="AU226" s="175">
        <v>1986.6</v>
      </c>
      <c r="AV226" s="175">
        <v>26.336957616027384</v>
      </c>
      <c r="AW226" s="175">
        <v>0.6891654839383442</v>
      </c>
      <c r="AX226" s="175">
        <v>2522</v>
      </c>
      <c r="AY226" s="175">
        <v>16388</v>
      </c>
      <c r="AZ226" s="175">
        <v>0.15389309250671224</v>
      </c>
      <c r="BA226" s="175">
        <v>0.09270925642247774</v>
      </c>
      <c r="BB226" s="175">
        <v>0</v>
      </c>
      <c r="BC226" s="207">
        <v>18262</v>
      </c>
      <c r="BD226" s="175">
        <v>19988</v>
      </c>
      <c r="BE226" s="175">
        <v>0.913648188913348</v>
      </c>
      <c r="BF226" s="175">
        <v>0.5047413063222549</v>
      </c>
      <c r="BG226" s="175">
        <v>0</v>
      </c>
      <c r="BH226" s="175">
        <v>1</v>
      </c>
      <c r="BI226" s="207">
        <v>0</v>
      </c>
      <c r="BJ226" s="207">
        <v>-12557.039999999999</v>
      </c>
      <c r="BK226" s="207">
        <v>-214516.09999999998</v>
      </c>
      <c r="BL226" s="207">
        <v>-14649.880000000001</v>
      </c>
      <c r="BM226" s="207">
        <v>0</v>
      </c>
      <c r="BN226" s="207">
        <v>0</v>
      </c>
      <c r="BO226" s="207">
        <v>-333760</v>
      </c>
      <c r="BP226" s="207">
        <v>-2773429.585703103</v>
      </c>
      <c r="BQ226" s="207">
        <v>-2226781.7600000002</v>
      </c>
      <c r="BR226" s="207">
        <v>825981.7808151245</v>
      </c>
      <c r="BS226" s="207">
        <v>4035158</v>
      </c>
      <c r="BT226" s="207">
        <v>1360728</v>
      </c>
      <c r="BU226" s="207">
        <v>3108333.4400907625</v>
      </c>
      <c r="BV226" s="207">
        <v>109870.08065928429</v>
      </c>
      <c r="BW226" s="207">
        <v>143591.84511297155</v>
      </c>
      <c r="BX226" s="207">
        <v>1435082.5456556936</v>
      </c>
      <c r="BY226" s="207">
        <v>2764155.9394521797</v>
      </c>
      <c r="BZ226" s="207">
        <v>4385553.091347926</v>
      </c>
      <c r="CA226" s="207">
        <v>1357506.7920240066</v>
      </c>
      <c r="CB226" s="207">
        <v>2418070.2994944337</v>
      </c>
      <c r="CC226" s="207">
        <v>4708.889999999999</v>
      </c>
      <c r="CD226" s="207">
        <v>472138.69220869715</v>
      </c>
      <c r="CE226" s="207">
        <v>3342375.9425830254</v>
      </c>
      <c r="CF226" s="207">
        <v>-5127240.913120077</v>
      </c>
      <c r="CG226" s="207">
        <v>2321508.7895592037</v>
      </c>
      <c r="CH226" s="207">
        <v>3314061.759721004</v>
      </c>
      <c r="CI226" s="207">
        <v>0</v>
      </c>
      <c r="CJ226" s="207">
        <v>26815578.618813585</v>
      </c>
      <c r="CK226" s="207">
        <v>-2960952</v>
      </c>
      <c r="CL226" s="207">
        <v>394158.9400000002</v>
      </c>
      <c r="CM226" s="207">
        <v>995277.9098000003</v>
      </c>
      <c r="CN226" s="207">
        <v>-601118.9698000001</v>
      </c>
      <c r="CO226" s="207">
        <v>93050247.30543382</v>
      </c>
      <c r="CP226" s="207">
        <v>107748508.24024537</v>
      </c>
      <c r="CQ226" s="207">
        <v>52984</v>
      </c>
    </row>
    <row r="227" spans="1:95" ht="11.25">
      <c r="A227" s="207">
        <v>790</v>
      </c>
      <c r="B227" s="207" t="s">
        <v>283</v>
      </c>
      <c r="C227" s="207">
        <v>24651</v>
      </c>
      <c r="D227" s="207">
        <v>92422410.12</v>
      </c>
      <c r="E227" s="207">
        <v>34978225.01720268</v>
      </c>
      <c r="F227" s="207">
        <v>4496100.926211462</v>
      </c>
      <c r="G227" s="207">
        <v>131896736.06341414</v>
      </c>
      <c r="H227" s="207">
        <v>3664.46</v>
      </c>
      <c r="I227" s="207">
        <v>90332603.46000001</v>
      </c>
      <c r="J227" s="207">
        <v>41564132.60341413</v>
      </c>
      <c r="K227" s="207">
        <v>765874.0499784715</v>
      </c>
      <c r="L227" s="207">
        <v>-2609553.41787935</v>
      </c>
      <c r="M227" s="207">
        <v>0</v>
      </c>
      <c r="N227" s="207">
        <v>39720453.235513255</v>
      </c>
      <c r="O227" s="207">
        <v>17074709.008096833</v>
      </c>
      <c r="P227" s="207">
        <v>56795162.243610084</v>
      </c>
      <c r="Q227" s="207">
        <v>1275</v>
      </c>
      <c r="R227" s="207">
        <v>264</v>
      </c>
      <c r="S227" s="207">
        <v>1617</v>
      </c>
      <c r="T227" s="207">
        <v>821</v>
      </c>
      <c r="U227" s="207">
        <v>825</v>
      </c>
      <c r="V227" s="207">
        <v>12839</v>
      </c>
      <c r="W227" s="207">
        <v>3857</v>
      </c>
      <c r="X227" s="207">
        <v>2144</v>
      </c>
      <c r="Y227" s="207">
        <v>1009</v>
      </c>
      <c r="Z227" s="207">
        <v>35</v>
      </c>
      <c r="AA227" s="207">
        <v>0</v>
      </c>
      <c r="AB227" s="207">
        <v>23958</v>
      </c>
      <c r="AC227" s="207">
        <v>658</v>
      </c>
      <c r="AD227" s="207">
        <v>7010</v>
      </c>
      <c r="AE227" s="481">
        <v>1.2010134718540453</v>
      </c>
      <c r="AF227" s="207">
        <v>34978225.01720268</v>
      </c>
      <c r="AG227" s="207" t="e">
        <v>#DIV/0!</v>
      </c>
      <c r="AH227" s="207" t="e">
        <v>#DIV/0!</v>
      </c>
      <c r="AI227" s="207" t="e">
        <v>#DIV/0!</v>
      </c>
      <c r="AJ227" s="175">
        <v>688</v>
      </c>
      <c r="AK227" s="175">
        <v>10643</v>
      </c>
      <c r="AL227" s="175">
        <v>0.662595702764607</v>
      </c>
      <c r="AM227" s="175">
        <v>658</v>
      </c>
      <c r="AN227" s="175">
        <v>0.026692629102267655</v>
      </c>
      <c r="AO227" s="175">
        <v>0.02341154999180466</v>
      </c>
      <c r="AP227" s="175">
        <v>0</v>
      </c>
      <c r="AQ227" s="175">
        <v>35</v>
      </c>
      <c r="AR227" s="175">
        <v>0</v>
      </c>
      <c r="AS227" s="175">
        <v>0</v>
      </c>
      <c r="AT227" s="175">
        <v>0</v>
      </c>
      <c r="AU227" s="175">
        <v>1429.04</v>
      </c>
      <c r="AV227" s="175">
        <v>17.250041986228517</v>
      </c>
      <c r="AW227" s="175">
        <v>1.0522016210397371</v>
      </c>
      <c r="AX227" s="175">
        <v>1001</v>
      </c>
      <c r="AY227" s="175">
        <v>7040</v>
      </c>
      <c r="AZ227" s="175">
        <v>0.1421875</v>
      </c>
      <c r="BA227" s="175">
        <v>0.0810036639157655</v>
      </c>
      <c r="BB227" s="175">
        <v>0</v>
      </c>
      <c r="BC227" s="207">
        <v>8236</v>
      </c>
      <c r="BD227" s="175">
        <v>9337</v>
      </c>
      <c r="BE227" s="175">
        <v>0.8820820391988862</v>
      </c>
      <c r="BF227" s="175">
        <v>0.4731751566077931</v>
      </c>
      <c r="BG227" s="175">
        <v>0</v>
      </c>
      <c r="BH227" s="175">
        <v>0</v>
      </c>
      <c r="BI227" s="207">
        <v>0</v>
      </c>
      <c r="BJ227" s="207">
        <v>-5916.24</v>
      </c>
      <c r="BK227" s="207">
        <v>-101069.09999999999</v>
      </c>
      <c r="BL227" s="207">
        <v>-6902.280000000001</v>
      </c>
      <c r="BM227" s="207">
        <v>0</v>
      </c>
      <c r="BN227" s="207">
        <v>0</v>
      </c>
      <c r="BO227" s="207">
        <v>109921</v>
      </c>
      <c r="BP227" s="207">
        <v>-1487887.0693535246</v>
      </c>
      <c r="BQ227" s="207">
        <v>-1049146.56</v>
      </c>
      <c r="BR227" s="207">
        <v>314590.4163180054</v>
      </c>
      <c r="BS227" s="207">
        <v>2132215</v>
      </c>
      <c r="BT227" s="207">
        <v>693692</v>
      </c>
      <c r="BU227" s="207">
        <v>1590061.451839151</v>
      </c>
      <c r="BV227" s="207">
        <v>77740.95422471622</v>
      </c>
      <c r="BW227" s="207">
        <v>165931.79737755808</v>
      </c>
      <c r="BX227" s="207">
        <v>756892.1389919305</v>
      </c>
      <c r="BY227" s="207">
        <v>1316770.0858104366</v>
      </c>
      <c r="BZ227" s="207">
        <v>2130936.0600489173</v>
      </c>
      <c r="CA227" s="207">
        <v>642333.5214555229</v>
      </c>
      <c r="CB227" s="207">
        <v>1104192.3558072038</v>
      </c>
      <c r="CC227" s="207">
        <v>2218.5899999999997</v>
      </c>
      <c r="CD227" s="207">
        <v>-47501.40513018501</v>
      </c>
      <c r="CE227" s="207">
        <v>1562088.0214741747</v>
      </c>
      <c r="CF227" s="207">
        <v>-2609553.41787935</v>
      </c>
      <c r="CG227" s="207">
        <v>1158454.9302863542</v>
      </c>
      <c r="CH227" s="207">
        <v>1538191.7943270612</v>
      </c>
      <c r="CI227" s="207">
        <v>0</v>
      </c>
      <c r="CJ227" s="207">
        <v>17074709.008096833</v>
      </c>
      <c r="CK227" s="207">
        <v>-1885641</v>
      </c>
      <c r="CL227" s="207">
        <v>366890.94000000006</v>
      </c>
      <c r="CM227" s="207">
        <v>291222.24</v>
      </c>
      <c r="CN227" s="207">
        <v>75668.70000000007</v>
      </c>
      <c r="CO227" s="207">
        <v>54909521.243610084</v>
      </c>
      <c r="CP227" s="207">
        <v>61797380.43601668</v>
      </c>
      <c r="CQ227" s="207">
        <v>24820</v>
      </c>
    </row>
    <row r="228" spans="1:95" ht="11.25">
      <c r="A228" s="207">
        <v>738</v>
      </c>
      <c r="B228" s="207" t="s">
        <v>284</v>
      </c>
      <c r="C228" s="207">
        <v>2994</v>
      </c>
      <c r="D228" s="207">
        <v>10642404.71</v>
      </c>
      <c r="E228" s="207">
        <v>2831431.010549909</v>
      </c>
      <c r="F228" s="207">
        <v>581441.3115877903</v>
      </c>
      <c r="G228" s="207">
        <v>14055277.0321377</v>
      </c>
      <c r="H228" s="207">
        <v>3664.46</v>
      </c>
      <c r="I228" s="207">
        <v>10971393.24</v>
      </c>
      <c r="J228" s="207">
        <v>3083883.792137699</v>
      </c>
      <c r="K228" s="207">
        <v>32278.858631585277</v>
      </c>
      <c r="L228" s="207">
        <v>-352062.99166098353</v>
      </c>
      <c r="M228" s="207">
        <v>0</v>
      </c>
      <c r="N228" s="207">
        <v>2764099.6591083007</v>
      </c>
      <c r="O228" s="207">
        <v>1492163.7326483862</v>
      </c>
      <c r="P228" s="207">
        <v>4256263.391756687</v>
      </c>
      <c r="Q228" s="207">
        <v>167</v>
      </c>
      <c r="R228" s="207">
        <v>26</v>
      </c>
      <c r="S228" s="207">
        <v>219</v>
      </c>
      <c r="T228" s="207">
        <v>117</v>
      </c>
      <c r="U228" s="207">
        <v>100</v>
      </c>
      <c r="V228" s="207">
        <v>1610</v>
      </c>
      <c r="W228" s="207">
        <v>484</v>
      </c>
      <c r="X228" s="207">
        <v>183</v>
      </c>
      <c r="Y228" s="207">
        <v>88</v>
      </c>
      <c r="Z228" s="207">
        <v>74</v>
      </c>
      <c r="AA228" s="207">
        <v>0</v>
      </c>
      <c r="AB228" s="207">
        <v>2833</v>
      </c>
      <c r="AC228" s="207">
        <v>87</v>
      </c>
      <c r="AD228" s="207">
        <v>755</v>
      </c>
      <c r="AE228" s="481">
        <v>0.800458538516764</v>
      </c>
      <c r="AF228" s="207">
        <v>2831431.010549909</v>
      </c>
      <c r="AG228" s="207" t="e">
        <v>#DIV/0!</v>
      </c>
      <c r="AH228" s="207" t="e">
        <v>#DIV/0!</v>
      </c>
      <c r="AI228" s="207" t="e">
        <v>#DIV/0!</v>
      </c>
      <c r="AJ228" s="175">
        <v>76</v>
      </c>
      <c r="AK228" s="175">
        <v>1409</v>
      </c>
      <c r="AL228" s="175">
        <v>0.55287485444877</v>
      </c>
      <c r="AM228" s="175">
        <v>87</v>
      </c>
      <c r="AN228" s="175">
        <v>0.02905811623246493</v>
      </c>
      <c r="AO228" s="175">
        <v>0.025777037122001936</v>
      </c>
      <c r="AP228" s="175">
        <v>0</v>
      </c>
      <c r="AQ228" s="175">
        <v>74</v>
      </c>
      <c r="AR228" s="175">
        <v>0</v>
      </c>
      <c r="AS228" s="175">
        <v>0</v>
      </c>
      <c r="AT228" s="175">
        <v>0</v>
      </c>
      <c r="AU228" s="175">
        <v>252.61</v>
      </c>
      <c r="AV228" s="175">
        <v>11.852262380745021</v>
      </c>
      <c r="AW228" s="175">
        <v>1.5313972605264117</v>
      </c>
      <c r="AX228" s="175">
        <v>131</v>
      </c>
      <c r="AY228" s="175">
        <v>954</v>
      </c>
      <c r="AZ228" s="175">
        <v>0.13731656184486374</v>
      </c>
      <c r="BA228" s="175">
        <v>0.07613272576062924</v>
      </c>
      <c r="BB228" s="175">
        <v>0</v>
      </c>
      <c r="BC228" s="207">
        <v>733</v>
      </c>
      <c r="BD228" s="175">
        <v>1279</v>
      </c>
      <c r="BE228" s="175">
        <v>0.5731039874902267</v>
      </c>
      <c r="BF228" s="175">
        <v>0.16419710489913364</v>
      </c>
      <c r="BG228" s="175">
        <v>0</v>
      </c>
      <c r="BH228" s="175">
        <v>0</v>
      </c>
      <c r="BI228" s="207">
        <v>0</v>
      </c>
      <c r="BJ228" s="207">
        <v>-718.56</v>
      </c>
      <c r="BK228" s="207">
        <v>-12275.4</v>
      </c>
      <c r="BL228" s="207">
        <v>-838.32</v>
      </c>
      <c r="BM228" s="207">
        <v>0</v>
      </c>
      <c r="BN228" s="207">
        <v>0</v>
      </c>
      <c r="BO228" s="207">
        <v>-87894</v>
      </c>
      <c r="BP228" s="207">
        <v>-43831.22001598853</v>
      </c>
      <c r="BQ228" s="207">
        <v>-127424.64000000001</v>
      </c>
      <c r="BR228" s="207">
        <v>-25972.495480962098</v>
      </c>
      <c r="BS228" s="207">
        <v>275701</v>
      </c>
      <c r="BT228" s="207">
        <v>85382</v>
      </c>
      <c r="BU228" s="207">
        <v>191068.64161105533</v>
      </c>
      <c r="BV228" s="207">
        <v>6790.062972697254</v>
      </c>
      <c r="BW228" s="207">
        <v>2703.277612326673</v>
      </c>
      <c r="BX228" s="207">
        <v>71784.76699329968</v>
      </c>
      <c r="BY228" s="207">
        <v>173816.3424855337</v>
      </c>
      <c r="BZ228" s="207">
        <v>286153.1203409527</v>
      </c>
      <c r="CA228" s="207">
        <v>85582.37018853595</v>
      </c>
      <c r="CB228" s="207">
        <v>140795.53337546438</v>
      </c>
      <c r="CC228" s="207">
        <v>269.46</v>
      </c>
      <c r="CD228" s="207">
        <v>4909.857215213526</v>
      </c>
      <c r="CE228" s="207">
        <v>17725.00835500505</v>
      </c>
      <c r="CF228" s="207">
        <v>-352062.99166098353</v>
      </c>
      <c r="CG228" s="207">
        <v>123448.12662075362</v>
      </c>
      <c r="CH228" s="207">
        <v>192407.13879131622</v>
      </c>
      <c r="CI228" s="207">
        <v>0</v>
      </c>
      <c r="CJ228" s="207">
        <v>1492163.7326483862</v>
      </c>
      <c r="CK228" s="207">
        <v>-578795</v>
      </c>
      <c r="CL228" s="207">
        <v>140498.37</v>
      </c>
      <c r="CM228" s="207">
        <v>217857.686</v>
      </c>
      <c r="CN228" s="207">
        <v>-77359.31599999999</v>
      </c>
      <c r="CO228" s="207">
        <v>3677468.3917566873</v>
      </c>
      <c r="CP228" s="207">
        <v>4543410.232471341</v>
      </c>
      <c r="CQ228" s="207">
        <v>3007</v>
      </c>
    </row>
    <row r="229" spans="1:95" ht="11.25">
      <c r="A229" s="207">
        <v>739</v>
      </c>
      <c r="B229" s="207" t="s">
        <v>285</v>
      </c>
      <c r="C229" s="207">
        <v>3429</v>
      </c>
      <c r="D229" s="207">
        <v>13787333.13</v>
      </c>
      <c r="E229" s="207">
        <v>5809208.119692836</v>
      </c>
      <c r="F229" s="207">
        <v>889979.7664336037</v>
      </c>
      <c r="G229" s="207">
        <v>20486521.01612644</v>
      </c>
      <c r="H229" s="207">
        <v>3664.46</v>
      </c>
      <c r="I229" s="207">
        <v>12565433.34</v>
      </c>
      <c r="J229" s="207">
        <v>7921087.676126439</v>
      </c>
      <c r="K229" s="207">
        <v>224419.92742023506</v>
      </c>
      <c r="L229" s="207">
        <v>-195296.3777568728</v>
      </c>
      <c r="M229" s="207">
        <v>0</v>
      </c>
      <c r="N229" s="207">
        <v>7950211.225789801</v>
      </c>
      <c r="O229" s="207">
        <v>2447359.283596419</v>
      </c>
      <c r="P229" s="207">
        <v>10397570.50938622</v>
      </c>
      <c r="Q229" s="207">
        <v>116</v>
      </c>
      <c r="R229" s="207">
        <v>32</v>
      </c>
      <c r="S229" s="207">
        <v>173</v>
      </c>
      <c r="T229" s="207">
        <v>94</v>
      </c>
      <c r="U229" s="207">
        <v>86</v>
      </c>
      <c r="V229" s="207">
        <v>1637</v>
      </c>
      <c r="W229" s="207">
        <v>629</v>
      </c>
      <c r="X229" s="207">
        <v>451</v>
      </c>
      <c r="Y229" s="207">
        <v>211</v>
      </c>
      <c r="Z229" s="207">
        <v>5</v>
      </c>
      <c r="AA229" s="207">
        <v>0</v>
      </c>
      <c r="AB229" s="207">
        <v>3380</v>
      </c>
      <c r="AC229" s="207">
        <v>44</v>
      </c>
      <c r="AD229" s="207">
        <v>1291</v>
      </c>
      <c r="AE229" s="481">
        <v>1.4339503158564986</v>
      </c>
      <c r="AF229" s="207">
        <v>5809208.119692836</v>
      </c>
      <c r="AG229" s="207" t="e">
        <v>#DIV/0!</v>
      </c>
      <c r="AH229" s="207" t="e">
        <v>#DIV/0!</v>
      </c>
      <c r="AI229" s="207" t="e">
        <v>#DIV/0!</v>
      </c>
      <c r="AJ229" s="175">
        <v>136</v>
      </c>
      <c r="AK229" s="175">
        <v>1436</v>
      </c>
      <c r="AL229" s="175">
        <v>0.9707529239562666</v>
      </c>
      <c r="AM229" s="175">
        <v>44</v>
      </c>
      <c r="AN229" s="175">
        <v>0.012831729367162438</v>
      </c>
      <c r="AO229" s="175">
        <v>0.00955065025669944</v>
      </c>
      <c r="AP229" s="175">
        <v>0</v>
      </c>
      <c r="AQ229" s="175">
        <v>5</v>
      </c>
      <c r="AR229" s="175">
        <v>0</v>
      </c>
      <c r="AS229" s="175">
        <v>0</v>
      </c>
      <c r="AT229" s="175">
        <v>0</v>
      </c>
      <c r="AU229" s="175">
        <v>539.18</v>
      </c>
      <c r="AV229" s="175">
        <v>6.359657257316667</v>
      </c>
      <c r="AW229" s="175">
        <v>2.8540094861293563</v>
      </c>
      <c r="AX229" s="175">
        <v>128</v>
      </c>
      <c r="AY229" s="175">
        <v>837</v>
      </c>
      <c r="AZ229" s="175">
        <v>0.15292712066905614</v>
      </c>
      <c r="BA229" s="175">
        <v>0.09174328458482164</v>
      </c>
      <c r="BB229" s="175">
        <v>0.172533</v>
      </c>
      <c r="BC229" s="207">
        <v>1039</v>
      </c>
      <c r="BD229" s="175">
        <v>1241</v>
      </c>
      <c r="BE229" s="175">
        <v>0.8372280419016922</v>
      </c>
      <c r="BF229" s="175">
        <v>0.4283211593105991</v>
      </c>
      <c r="BG229" s="175">
        <v>0</v>
      </c>
      <c r="BH229" s="175">
        <v>0</v>
      </c>
      <c r="BI229" s="207">
        <v>0</v>
      </c>
      <c r="BJ229" s="207">
        <v>-822.9599999999999</v>
      </c>
      <c r="BK229" s="207">
        <v>-14058.9</v>
      </c>
      <c r="BL229" s="207">
        <v>-960.1200000000001</v>
      </c>
      <c r="BM229" s="207">
        <v>0</v>
      </c>
      <c r="BN229" s="207">
        <v>0</v>
      </c>
      <c r="BO229" s="207">
        <v>71974</v>
      </c>
      <c r="BP229" s="207">
        <v>-100227.3636258029</v>
      </c>
      <c r="BQ229" s="207">
        <v>-145938.24000000002</v>
      </c>
      <c r="BR229" s="207">
        <v>17385.44724056311</v>
      </c>
      <c r="BS229" s="207">
        <v>404465</v>
      </c>
      <c r="BT229" s="207">
        <v>122158</v>
      </c>
      <c r="BU229" s="207">
        <v>311739.8156545589</v>
      </c>
      <c r="BV229" s="207">
        <v>16778.709372529363</v>
      </c>
      <c r="BW229" s="207">
        <v>32261.40038031776</v>
      </c>
      <c r="BX229" s="207">
        <v>141033.168890131</v>
      </c>
      <c r="BY229" s="207">
        <v>189766.33782475995</v>
      </c>
      <c r="BZ229" s="207">
        <v>320605.1702299171</v>
      </c>
      <c r="CA229" s="207">
        <v>100839.90707654522</v>
      </c>
      <c r="CB229" s="207">
        <v>164273.6361678294</v>
      </c>
      <c r="CC229" s="207">
        <v>308.61</v>
      </c>
      <c r="CD229" s="207">
        <v>5249.418538825426</v>
      </c>
      <c r="CE229" s="207">
        <v>278246.2158689301</v>
      </c>
      <c r="CF229" s="207">
        <v>-195296.3777568728</v>
      </c>
      <c r="CG229" s="207">
        <v>179934.03008954154</v>
      </c>
      <c r="CH229" s="207">
        <v>232974.0279636356</v>
      </c>
      <c r="CI229" s="207">
        <v>0</v>
      </c>
      <c r="CJ229" s="207">
        <v>2447359.283596419</v>
      </c>
      <c r="CK229" s="207">
        <v>125550</v>
      </c>
      <c r="CL229" s="207">
        <v>133613.2</v>
      </c>
      <c r="CM229" s="207">
        <v>6817</v>
      </c>
      <c r="CN229" s="207">
        <v>126796.20000000001</v>
      </c>
      <c r="CO229" s="207">
        <v>10523120.50938622</v>
      </c>
      <c r="CP229" s="207">
        <v>11619930.908928031</v>
      </c>
      <c r="CQ229" s="207">
        <v>3480</v>
      </c>
    </row>
    <row r="230" spans="1:95" ht="11.25">
      <c r="A230" s="207">
        <v>740</v>
      </c>
      <c r="B230" s="207" t="s">
        <v>286</v>
      </c>
      <c r="C230" s="207">
        <v>33611</v>
      </c>
      <c r="D230" s="207">
        <v>119669239.31</v>
      </c>
      <c r="E230" s="207">
        <v>50827313.66963579</v>
      </c>
      <c r="F230" s="207">
        <v>10216057.675851103</v>
      </c>
      <c r="G230" s="207">
        <v>180712610.65548688</v>
      </c>
      <c r="H230" s="207">
        <v>3664.46</v>
      </c>
      <c r="I230" s="207">
        <v>123166165.06</v>
      </c>
      <c r="J230" s="207">
        <v>57546445.59548688</v>
      </c>
      <c r="K230" s="207">
        <v>2397889.46099846</v>
      </c>
      <c r="L230" s="207">
        <v>-3487074.678310331</v>
      </c>
      <c r="M230" s="207">
        <v>0</v>
      </c>
      <c r="N230" s="207">
        <v>56457260.378175005</v>
      </c>
      <c r="O230" s="207">
        <v>18399052.074282378</v>
      </c>
      <c r="P230" s="207">
        <v>74856312.45245738</v>
      </c>
      <c r="Q230" s="207">
        <v>1405</v>
      </c>
      <c r="R230" s="207">
        <v>268</v>
      </c>
      <c r="S230" s="207">
        <v>1821</v>
      </c>
      <c r="T230" s="207">
        <v>985</v>
      </c>
      <c r="U230" s="207">
        <v>1065</v>
      </c>
      <c r="V230" s="207">
        <v>17698</v>
      </c>
      <c r="W230" s="207">
        <v>5774</v>
      </c>
      <c r="X230" s="207">
        <v>3267</v>
      </c>
      <c r="Y230" s="207">
        <v>1328</v>
      </c>
      <c r="Z230" s="207">
        <v>42</v>
      </c>
      <c r="AA230" s="207">
        <v>0</v>
      </c>
      <c r="AB230" s="207">
        <v>32344</v>
      </c>
      <c r="AC230" s="207">
        <v>1225</v>
      </c>
      <c r="AD230" s="207">
        <v>10369</v>
      </c>
      <c r="AE230" s="481">
        <v>1.2799717261547368</v>
      </c>
      <c r="AF230" s="207">
        <v>50827313.66963579</v>
      </c>
      <c r="AG230" s="207" t="e">
        <v>#DIV/0!</v>
      </c>
      <c r="AH230" s="207" t="e">
        <v>#DIV/0!</v>
      </c>
      <c r="AI230" s="207" t="e">
        <v>#DIV/0!</v>
      </c>
      <c r="AJ230" s="175">
        <v>1929</v>
      </c>
      <c r="AK230" s="175">
        <v>15401</v>
      </c>
      <c r="AL230" s="175">
        <v>1.2838300762018473</v>
      </c>
      <c r="AM230" s="175">
        <v>1225</v>
      </c>
      <c r="AN230" s="175">
        <v>0.03644640147570736</v>
      </c>
      <c r="AO230" s="175">
        <v>0.03316532236524436</v>
      </c>
      <c r="AP230" s="175">
        <v>0</v>
      </c>
      <c r="AQ230" s="175">
        <v>42</v>
      </c>
      <c r="AR230" s="175">
        <v>0</v>
      </c>
      <c r="AS230" s="175">
        <v>3</v>
      </c>
      <c r="AT230" s="175">
        <v>5173</v>
      </c>
      <c r="AU230" s="175">
        <v>2238.09</v>
      </c>
      <c r="AV230" s="175">
        <v>15.017715998909784</v>
      </c>
      <c r="AW230" s="175">
        <v>1.2086073636118044</v>
      </c>
      <c r="AX230" s="175">
        <v>1197</v>
      </c>
      <c r="AY230" s="175">
        <v>9215</v>
      </c>
      <c r="AZ230" s="175">
        <v>0.12989690721649486</v>
      </c>
      <c r="BA230" s="175">
        <v>0.06871307113226036</v>
      </c>
      <c r="BB230" s="175">
        <v>0.1453</v>
      </c>
      <c r="BC230" s="207">
        <v>12884</v>
      </c>
      <c r="BD230" s="175">
        <v>12672</v>
      </c>
      <c r="BE230" s="175">
        <v>1.016729797979798</v>
      </c>
      <c r="BF230" s="175">
        <v>0.6078229153887049</v>
      </c>
      <c r="BG230" s="175">
        <v>0</v>
      </c>
      <c r="BH230" s="175">
        <v>0</v>
      </c>
      <c r="BI230" s="207">
        <v>0</v>
      </c>
      <c r="BJ230" s="207">
        <v>-8066.639999999999</v>
      </c>
      <c r="BK230" s="207">
        <v>-137805.09999999998</v>
      </c>
      <c r="BL230" s="207">
        <v>-9411.080000000002</v>
      </c>
      <c r="BM230" s="207">
        <v>0</v>
      </c>
      <c r="BN230" s="207">
        <v>0</v>
      </c>
      <c r="BO230" s="207">
        <v>523093</v>
      </c>
      <c r="BP230" s="207">
        <v>-2301921.5757874246</v>
      </c>
      <c r="BQ230" s="207">
        <v>-1430484.1600000001</v>
      </c>
      <c r="BR230" s="207">
        <v>224198.56074189395</v>
      </c>
      <c r="BS230" s="207">
        <v>3134752</v>
      </c>
      <c r="BT230" s="207">
        <v>972657</v>
      </c>
      <c r="BU230" s="207">
        <v>2432360.2074209754</v>
      </c>
      <c r="BV230" s="207">
        <v>111060.45902521518</v>
      </c>
      <c r="BW230" s="207">
        <v>21440.63081911284</v>
      </c>
      <c r="BX230" s="207">
        <v>1185246.8266214402</v>
      </c>
      <c r="BY230" s="207">
        <v>1798370.0961450383</v>
      </c>
      <c r="BZ230" s="207">
        <v>2924603.959064982</v>
      </c>
      <c r="CA230" s="207">
        <v>904618.1283445293</v>
      </c>
      <c r="CB230" s="207">
        <v>1618745.2680681061</v>
      </c>
      <c r="CC230" s="207">
        <v>3024.99</v>
      </c>
      <c r="CD230" s="207">
        <v>103278.08722370467</v>
      </c>
      <c r="CE230" s="207">
        <v>2474076.4674770944</v>
      </c>
      <c r="CF230" s="207">
        <v>-3487074.678310331</v>
      </c>
      <c r="CG230" s="207">
        <v>1587206.9395114959</v>
      </c>
      <c r="CH230" s="207">
        <v>2171784.0802044733</v>
      </c>
      <c r="CI230" s="207">
        <v>0</v>
      </c>
      <c r="CJ230" s="207">
        <v>18399052.074282378</v>
      </c>
      <c r="CK230" s="207">
        <v>-2347842</v>
      </c>
      <c r="CL230" s="207">
        <v>399953.3900000001</v>
      </c>
      <c r="CM230" s="207">
        <v>584475.9460000001</v>
      </c>
      <c r="CN230" s="207">
        <v>-184522.55600000004</v>
      </c>
      <c r="CO230" s="207">
        <v>72508470.45245738</v>
      </c>
      <c r="CP230" s="207">
        <v>82705353.20562766</v>
      </c>
      <c r="CQ230" s="207">
        <v>34664</v>
      </c>
    </row>
    <row r="231" spans="1:95" ht="11.25">
      <c r="A231" s="207">
        <v>742</v>
      </c>
      <c r="B231" s="207" t="s">
        <v>287</v>
      </c>
      <c r="C231" s="207">
        <v>1015</v>
      </c>
      <c r="D231" s="207">
        <v>3473712.75</v>
      </c>
      <c r="E231" s="207">
        <v>1494198.1551736195</v>
      </c>
      <c r="F231" s="207">
        <v>984635.3712927119</v>
      </c>
      <c r="G231" s="207">
        <v>5952546.276466331</v>
      </c>
      <c r="H231" s="207">
        <v>3664.46</v>
      </c>
      <c r="I231" s="207">
        <v>3719426.9</v>
      </c>
      <c r="J231" s="207">
        <v>2233119.3764663315</v>
      </c>
      <c r="K231" s="207">
        <v>1283193.1792863128</v>
      </c>
      <c r="L231" s="207">
        <v>112858.86448297715</v>
      </c>
      <c r="M231" s="207">
        <v>0</v>
      </c>
      <c r="N231" s="207">
        <v>3629171.4202356213</v>
      </c>
      <c r="O231" s="207">
        <v>224003.36562523514</v>
      </c>
      <c r="P231" s="207">
        <v>3853174.7858608565</v>
      </c>
      <c r="Q231" s="207">
        <v>41</v>
      </c>
      <c r="R231" s="207">
        <v>10</v>
      </c>
      <c r="S231" s="207">
        <v>33</v>
      </c>
      <c r="T231" s="207">
        <v>31</v>
      </c>
      <c r="U231" s="207">
        <v>26</v>
      </c>
      <c r="V231" s="207">
        <v>537</v>
      </c>
      <c r="W231" s="207">
        <v>188</v>
      </c>
      <c r="X231" s="207">
        <v>113</v>
      </c>
      <c r="Y231" s="207">
        <v>36</v>
      </c>
      <c r="Z231" s="207">
        <v>2</v>
      </c>
      <c r="AA231" s="207">
        <v>3</v>
      </c>
      <c r="AB231" s="207">
        <v>1005</v>
      </c>
      <c r="AC231" s="207">
        <v>5</v>
      </c>
      <c r="AD231" s="207">
        <v>337</v>
      </c>
      <c r="AE231" s="481">
        <v>1.2460251462508347</v>
      </c>
      <c r="AF231" s="207">
        <v>1494198.1551736195</v>
      </c>
      <c r="AG231" s="207" t="e">
        <v>#DIV/0!</v>
      </c>
      <c r="AH231" s="207" t="e">
        <v>#DIV/0!</v>
      </c>
      <c r="AI231" s="207" t="e">
        <v>#DIV/0!</v>
      </c>
      <c r="AJ231" s="175">
        <v>68</v>
      </c>
      <c r="AK231" s="175">
        <v>462</v>
      </c>
      <c r="AL231" s="175">
        <v>1.5086593060619036</v>
      </c>
      <c r="AM231" s="175">
        <v>5</v>
      </c>
      <c r="AN231" s="175">
        <v>0.0049261083743842365</v>
      </c>
      <c r="AO231" s="175">
        <v>0.00164502926392124</v>
      </c>
      <c r="AP231" s="175">
        <v>0</v>
      </c>
      <c r="AQ231" s="175">
        <v>2</v>
      </c>
      <c r="AR231" s="175">
        <v>3</v>
      </c>
      <c r="AS231" s="175">
        <v>0</v>
      </c>
      <c r="AT231" s="175">
        <v>0</v>
      </c>
      <c r="AU231" s="175">
        <v>6439.2</v>
      </c>
      <c r="AV231" s="175">
        <v>0.157628276804572</v>
      </c>
      <c r="AW231" s="175">
        <v>115.1476277534661</v>
      </c>
      <c r="AX231" s="175">
        <v>34</v>
      </c>
      <c r="AY231" s="175">
        <v>259</v>
      </c>
      <c r="AZ231" s="175">
        <v>0.13127413127413126</v>
      </c>
      <c r="BA231" s="175">
        <v>0.07009029518989676</v>
      </c>
      <c r="BB231" s="175">
        <v>1.896366</v>
      </c>
      <c r="BC231" s="207">
        <v>330</v>
      </c>
      <c r="BD231" s="175">
        <v>359</v>
      </c>
      <c r="BE231" s="175">
        <v>0.9192200557103064</v>
      </c>
      <c r="BF231" s="175">
        <v>0.5103131731192133</v>
      </c>
      <c r="BG231" s="175">
        <v>0</v>
      </c>
      <c r="BH231" s="175">
        <v>3</v>
      </c>
      <c r="BI231" s="207">
        <v>0</v>
      </c>
      <c r="BJ231" s="207">
        <v>-243.6</v>
      </c>
      <c r="BK231" s="207">
        <v>-4161.5</v>
      </c>
      <c r="BL231" s="207">
        <v>-284.20000000000005</v>
      </c>
      <c r="BM231" s="207">
        <v>0</v>
      </c>
      <c r="BN231" s="207">
        <v>0</v>
      </c>
      <c r="BO231" s="207">
        <v>93901</v>
      </c>
      <c r="BP231" s="207">
        <v>-12908.93531804109</v>
      </c>
      <c r="BQ231" s="207">
        <v>-43198.4</v>
      </c>
      <c r="BR231" s="207">
        <v>106604.61965460237</v>
      </c>
      <c r="BS231" s="207">
        <v>109834</v>
      </c>
      <c r="BT231" s="207">
        <v>36537</v>
      </c>
      <c r="BU231" s="207">
        <v>107128.47253510478</v>
      </c>
      <c r="BV231" s="207">
        <v>6185.452639417533</v>
      </c>
      <c r="BW231" s="207">
        <v>17547.13801080827</v>
      </c>
      <c r="BX231" s="207">
        <v>43891.12617323774</v>
      </c>
      <c r="BY231" s="207">
        <v>62396.715269829845</v>
      </c>
      <c r="BZ231" s="207">
        <v>97408.82513247551</v>
      </c>
      <c r="CA231" s="207">
        <v>32774.60226936166</v>
      </c>
      <c r="CB231" s="207">
        <v>55547.7924942877</v>
      </c>
      <c r="CC231" s="207">
        <v>91.35</v>
      </c>
      <c r="CD231" s="207">
        <v>-17612.449953400366</v>
      </c>
      <c r="CE231" s="207">
        <v>236270.84980101825</v>
      </c>
      <c r="CF231" s="207">
        <v>112858.86448297715</v>
      </c>
      <c r="CG231" s="207">
        <v>52281.48009981623</v>
      </c>
      <c r="CH231" s="207">
        <v>75349.25755708512</v>
      </c>
      <c r="CI231" s="207">
        <v>0</v>
      </c>
      <c r="CJ231" s="207">
        <v>224003.36562523514</v>
      </c>
      <c r="CK231" s="207">
        <v>50469</v>
      </c>
      <c r="CL231" s="207">
        <v>24609.37</v>
      </c>
      <c r="CM231" s="207">
        <v>32721.600000000002</v>
      </c>
      <c r="CN231" s="207">
        <v>-8112.230000000003</v>
      </c>
      <c r="CO231" s="207">
        <v>3903643.7858608565</v>
      </c>
      <c r="CP231" s="207">
        <v>4417851.590718063</v>
      </c>
      <c r="CQ231" s="207">
        <v>1012</v>
      </c>
    </row>
    <row r="232" spans="1:95" ht="11.25">
      <c r="A232" s="207">
        <v>743</v>
      </c>
      <c r="B232" s="207" t="s">
        <v>288</v>
      </c>
      <c r="C232" s="207">
        <v>63288</v>
      </c>
      <c r="D232" s="207">
        <v>218439880.69</v>
      </c>
      <c r="E232" s="207">
        <v>76394175.98614737</v>
      </c>
      <c r="F232" s="207">
        <v>9363261.521261636</v>
      </c>
      <c r="G232" s="207">
        <v>304197318.197409</v>
      </c>
      <c r="H232" s="207">
        <v>3664.46</v>
      </c>
      <c r="I232" s="207">
        <v>231916344.48</v>
      </c>
      <c r="J232" s="207">
        <v>72280973.71740898</v>
      </c>
      <c r="K232" s="207">
        <v>2939639.7168724034</v>
      </c>
      <c r="L232" s="207">
        <v>-7376231.477069856</v>
      </c>
      <c r="M232" s="207">
        <v>0</v>
      </c>
      <c r="N232" s="207">
        <v>67844381.95721154</v>
      </c>
      <c r="O232" s="207">
        <v>17642252.107168715</v>
      </c>
      <c r="P232" s="207">
        <v>85486634.06438026</v>
      </c>
      <c r="Q232" s="207">
        <v>4267</v>
      </c>
      <c r="R232" s="207">
        <v>809</v>
      </c>
      <c r="S232" s="207">
        <v>4526</v>
      </c>
      <c r="T232" s="207">
        <v>2174</v>
      </c>
      <c r="U232" s="207">
        <v>2288</v>
      </c>
      <c r="V232" s="207">
        <v>36934</v>
      </c>
      <c r="W232" s="207">
        <v>7084</v>
      </c>
      <c r="X232" s="207">
        <v>3697</v>
      </c>
      <c r="Y232" s="207">
        <v>1509</v>
      </c>
      <c r="Z232" s="207">
        <v>132</v>
      </c>
      <c r="AA232" s="207">
        <v>4</v>
      </c>
      <c r="AB232" s="207">
        <v>61580</v>
      </c>
      <c r="AC232" s="207">
        <v>1572</v>
      </c>
      <c r="AD232" s="207">
        <v>12290</v>
      </c>
      <c r="AE232" s="481">
        <v>1.0217003276808958</v>
      </c>
      <c r="AF232" s="207">
        <v>76394175.98614737</v>
      </c>
      <c r="AG232" s="207" t="e">
        <v>#DIV/0!</v>
      </c>
      <c r="AH232" s="207" t="e">
        <v>#DIV/0!</v>
      </c>
      <c r="AI232" s="207" t="e">
        <v>#DIV/0!</v>
      </c>
      <c r="AJ232" s="175">
        <v>2465</v>
      </c>
      <c r="AK232" s="175">
        <v>30500</v>
      </c>
      <c r="AL232" s="175">
        <v>0.8284023517466141</v>
      </c>
      <c r="AM232" s="175">
        <v>1572</v>
      </c>
      <c r="AN232" s="175">
        <v>0.024838832006067502</v>
      </c>
      <c r="AO232" s="175">
        <v>0.021557752895604507</v>
      </c>
      <c r="AP232" s="175">
        <v>0</v>
      </c>
      <c r="AQ232" s="175">
        <v>132</v>
      </c>
      <c r="AR232" s="175">
        <v>4</v>
      </c>
      <c r="AS232" s="175">
        <v>0</v>
      </c>
      <c r="AT232" s="175">
        <v>0</v>
      </c>
      <c r="AU232" s="175">
        <v>1431.78</v>
      </c>
      <c r="AV232" s="175">
        <v>44.20232158571848</v>
      </c>
      <c r="AW232" s="175">
        <v>0.4106237294734651</v>
      </c>
      <c r="AX232" s="175">
        <v>1759</v>
      </c>
      <c r="AY232" s="175">
        <v>19082</v>
      </c>
      <c r="AZ232" s="175">
        <v>0.09218111309087097</v>
      </c>
      <c r="BA232" s="175">
        <v>0.03099727700663648</v>
      </c>
      <c r="BB232" s="175">
        <v>0</v>
      </c>
      <c r="BC232" s="207">
        <v>30039</v>
      </c>
      <c r="BD232" s="175">
        <v>26909</v>
      </c>
      <c r="BE232" s="175">
        <v>1.1163179605336504</v>
      </c>
      <c r="BF232" s="175">
        <v>0.7074110779425573</v>
      </c>
      <c r="BG232" s="175">
        <v>0</v>
      </c>
      <c r="BH232" s="175">
        <v>4</v>
      </c>
      <c r="BI232" s="207">
        <v>0</v>
      </c>
      <c r="BJ232" s="207">
        <v>-15189.119999999999</v>
      </c>
      <c r="BK232" s="207">
        <v>-259480.8</v>
      </c>
      <c r="BL232" s="207">
        <v>-17720.640000000003</v>
      </c>
      <c r="BM232" s="207">
        <v>0</v>
      </c>
      <c r="BN232" s="207">
        <v>0</v>
      </c>
      <c r="BO232" s="207">
        <v>461848</v>
      </c>
      <c r="BP232" s="207">
        <v>-3741845.8763137897</v>
      </c>
      <c r="BQ232" s="207">
        <v>-2693537.2800000003</v>
      </c>
      <c r="BR232" s="207">
        <v>89519.31668151915</v>
      </c>
      <c r="BS232" s="207">
        <v>3978804</v>
      </c>
      <c r="BT232" s="207">
        <v>1391477</v>
      </c>
      <c r="BU232" s="207">
        <v>3226519.989374259</v>
      </c>
      <c r="BV232" s="207">
        <v>102023.61029979105</v>
      </c>
      <c r="BW232" s="207">
        <v>237407.69299697477</v>
      </c>
      <c r="BX232" s="207">
        <v>1427481.3590565426</v>
      </c>
      <c r="BY232" s="207">
        <v>3172709.9227266847</v>
      </c>
      <c r="BZ232" s="207">
        <v>4787147.299027099</v>
      </c>
      <c r="CA232" s="207">
        <v>1525942.3086978707</v>
      </c>
      <c r="CB232" s="207">
        <v>2622742.824316507</v>
      </c>
      <c r="CC232" s="207">
        <v>5695.92</v>
      </c>
      <c r="CD232" s="207">
        <v>-35718.04460779624</v>
      </c>
      <c r="CE232" s="207">
        <v>3255778.9592439355</v>
      </c>
      <c r="CF232" s="207">
        <v>-7376231.477069856</v>
      </c>
      <c r="CG232" s="207">
        <v>2671778.6471702126</v>
      </c>
      <c r="CH232" s="207">
        <v>3727592.9000930684</v>
      </c>
      <c r="CI232" s="207">
        <v>0</v>
      </c>
      <c r="CJ232" s="207">
        <v>17642252.107168715</v>
      </c>
      <c r="CK232" s="207">
        <v>-2925636</v>
      </c>
      <c r="CL232" s="207">
        <v>901684.5899999996</v>
      </c>
      <c r="CM232" s="207">
        <v>1028739.8360000002</v>
      </c>
      <c r="CN232" s="207">
        <v>-127055.24600000062</v>
      </c>
      <c r="CO232" s="207">
        <v>82560998.06438026</v>
      </c>
      <c r="CP232" s="207">
        <v>95071081.25902858</v>
      </c>
      <c r="CQ232" s="207">
        <v>62676</v>
      </c>
    </row>
    <row r="233" spans="1:95" ht="11.25">
      <c r="A233" s="207">
        <v>746</v>
      </c>
      <c r="B233" s="207" t="s">
        <v>289</v>
      </c>
      <c r="C233" s="207">
        <v>4980</v>
      </c>
      <c r="D233" s="207">
        <v>21476471.449999996</v>
      </c>
      <c r="E233" s="207">
        <v>7976350.863762372</v>
      </c>
      <c r="F233" s="207">
        <v>1210619.9105698336</v>
      </c>
      <c r="G233" s="207">
        <v>30663442.2243322</v>
      </c>
      <c r="H233" s="207">
        <v>3664.46</v>
      </c>
      <c r="I233" s="207">
        <v>18249010.8</v>
      </c>
      <c r="J233" s="207">
        <v>12414431.424332198</v>
      </c>
      <c r="K233" s="207">
        <v>262438.97014775797</v>
      </c>
      <c r="L233" s="207">
        <v>-548770.0397027471</v>
      </c>
      <c r="M233" s="207">
        <v>0</v>
      </c>
      <c r="N233" s="207">
        <v>12128100.35477721</v>
      </c>
      <c r="O233" s="207">
        <v>4709471.906713064</v>
      </c>
      <c r="P233" s="207">
        <v>16837572.261490274</v>
      </c>
      <c r="Q233" s="207">
        <v>434</v>
      </c>
      <c r="R233" s="207">
        <v>90</v>
      </c>
      <c r="S233" s="207">
        <v>598</v>
      </c>
      <c r="T233" s="207">
        <v>281</v>
      </c>
      <c r="U233" s="207">
        <v>244</v>
      </c>
      <c r="V233" s="207">
        <v>2390</v>
      </c>
      <c r="W233" s="207">
        <v>533</v>
      </c>
      <c r="X233" s="207">
        <v>273</v>
      </c>
      <c r="Y233" s="207">
        <v>137</v>
      </c>
      <c r="Z233" s="207">
        <v>9</v>
      </c>
      <c r="AA233" s="207">
        <v>1</v>
      </c>
      <c r="AB233" s="207">
        <v>4890</v>
      </c>
      <c r="AC233" s="207">
        <v>80</v>
      </c>
      <c r="AD233" s="207">
        <v>943</v>
      </c>
      <c r="AE233" s="481">
        <v>1.3556874013065037</v>
      </c>
      <c r="AF233" s="207">
        <v>7976350.863762372</v>
      </c>
      <c r="AG233" s="207" t="e">
        <v>#DIV/0!</v>
      </c>
      <c r="AH233" s="207" t="e">
        <v>#DIV/0!</v>
      </c>
      <c r="AI233" s="207" t="e">
        <v>#DIV/0!</v>
      </c>
      <c r="AJ233" s="175">
        <v>160</v>
      </c>
      <c r="AK233" s="175">
        <v>1962</v>
      </c>
      <c r="AL233" s="175">
        <v>0.8358824721479876</v>
      </c>
      <c r="AM233" s="175">
        <v>80</v>
      </c>
      <c r="AN233" s="175">
        <v>0.01606425702811245</v>
      </c>
      <c r="AO233" s="175">
        <v>0.012783177917649453</v>
      </c>
      <c r="AP233" s="175">
        <v>0</v>
      </c>
      <c r="AQ233" s="175">
        <v>9</v>
      </c>
      <c r="AR233" s="175">
        <v>1</v>
      </c>
      <c r="AS233" s="175">
        <v>0</v>
      </c>
      <c r="AT233" s="175">
        <v>0</v>
      </c>
      <c r="AU233" s="175">
        <v>787.14</v>
      </c>
      <c r="AV233" s="175">
        <v>6.32670173031481</v>
      </c>
      <c r="AW233" s="175">
        <v>2.868875903212529</v>
      </c>
      <c r="AX233" s="175">
        <v>169</v>
      </c>
      <c r="AY233" s="175">
        <v>1345</v>
      </c>
      <c r="AZ233" s="175">
        <v>0.12565055762081784</v>
      </c>
      <c r="BA233" s="175">
        <v>0.06446672153658334</v>
      </c>
      <c r="BB233" s="175">
        <v>0</v>
      </c>
      <c r="BC233" s="207">
        <v>2085</v>
      </c>
      <c r="BD233" s="175">
        <v>1721</v>
      </c>
      <c r="BE233" s="175">
        <v>1.2115049389889598</v>
      </c>
      <c r="BF233" s="175">
        <v>0.8025980563978667</v>
      </c>
      <c r="BG233" s="175">
        <v>0</v>
      </c>
      <c r="BH233" s="175">
        <v>1</v>
      </c>
      <c r="BI233" s="207">
        <v>0</v>
      </c>
      <c r="BJ233" s="207">
        <v>-1195.2</v>
      </c>
      <c r="BK233" s="207">
        <v>-20418</v>
      </c>
      <c r="BL233" s="207">
        <v>-1394.4</v>
      </c>
      <c r="BM233" s="207">
        <v>0</v>
      </c>
      <c r="BN233" s="207">
        <v>0</v>
      </c>
      <c r="BO233" s="207">
        <v>-98522</v>
      </c>
      <c r="BP233" s="207">
        <v>-46357.5436436586</v>
      </c>
      <c r="BQ233" s="207">
        <v>-211948.80000000002</v>
      </c>
      <c r="BR233" s="207">
        <v>-93567.0326451771</v>
      </c>
      <c r="BS233" s="207">
        <v>462947</v>
      </c>
      <c r="BT233" s="207">
        <v>137655</v>
      </c>
      <c r="BU233" s="207">
        <v>343284.8799799744</v>
      </c>
      <c r="BV233" s="207">
        <v>13713.831083321365</v>
      </c>
      <c r="BW233" s="207">
        <v>41211.212880320585</v>
      </c>
      <c r="BX233" s="207">
        <v>189663.91626609047</v>
      </c>
      <c r="BY233" s="207">
        <v>254083.69828550037</v>
      </c>
      <c r="BZ233" s="207">
        <v>421469.8857876907</v>
      </c>
      <c r="CA233" s="207">
        <v>98138.35132382986</v>
      </c>
      <c r="CB233" s="207">
        <v>210644.02742289516</v>
      </c>
      <c r="CC233" s="207">
        <v>448.2</v>
      </c>
      <c r="CD233" s="207">
        <v>-42847.64751137537</v>
      </c>
      <c r="CE233" s="207">
        <v>39760.103940911504</v>
      </c>
      <c r="CF233" s="207">
        <v>-548770.0397027471</v>
      </c>
      <c r="CG233" s="207">
        <v>269318.384097464</v>
      </c>
      <c r="CH233" s="207">
        <v>310558.82581001596</v>
      </c>
      <c r="CI233" s="207">
        <v>0</v>
      </c>
      <c r="CJ233" s="207">
        <v>4709471.906713064</v>
      </c>
      <c r="CK233" s="207">
        <v>77881</v>
      </c>
      <c r="CL233" s="207">
        <v>32789.770000000004</v>
      </c>
      <c r="CM233" s="207">
        <v>56676.538</v>
      </c>
      <c r="CN233" s="207">
        <v>-23886.767999999996</v>
      </c>
      <c r="CO233" s="207">
        <v>16915453.261490274</v>
      </c>
      <c r="CP233" s="207">
        <v>17752361.861087404</v>
      </c>
      <c r="CQ233" s="207">
        <v>5035</v>
      </c>
    </row>
    <row r="234" spans="1:95" ht="11.25">
      <c r="A234" s="207">
        <v>747</v>
      </c>
      <c r="B234" s="207" t="s">
        <v>290</v>
      </c>
      <c r="C234" s="207">
        <v>1458</v>
      </c>
      <c r="D234" s="207">
        <v>5519504.33</v>
      </c>
      <c r="E234" s="207">
        <v>2006145.531706565</v>
      </c>
      <c r="F234" s="207">
        <v>598302.1297027976</v>
      </c>
      <c r="G234" s="207">
        <v>8123951.991409363</v>
      </c>
      <c r="H234" s="207">
        <v>3664.46</v>
      </c>
      <c r="I234" s="207">
        <v>5342782.68</v>
      </c>
      <c r="J234" s="207">
        <v>2781169.3114093635</v>
      </c>
      <c r="K234" s="207">
        <v>110318.83839654118</v>
      </c>
      <c r="L234" s="207">
        <v>24655.669915519713</v>
      </c>
      <c r="M234" s="207">
        <v>0</v>
      </c>
      <c r="N234" s="207">
        <v>2916143.8197214245</v>
      </c>
      <c r="O234" s="207">
        <v>1562820.5511377552</v>
      </c>
      <c r="P234" s="207">
        <v>4478964.37085918</v>
      </c>
      <c r="Q234" s="207">
        <v>58</v>
      </c>
      <c r="R234" s="207">
        <v>16</v>
      </c>
      <c r="S234" s="207">
        <v>72</v>
      </c>
      <c r="T234" s="207">
        <v>47</v>
      </c>
      <c r="U234" s="207">
        <v>43</v>
      </c>
      <c r="V234" s="207">
        <v>709</v>
      </c>
      <c r="W234" s="207">
        <v>271</v>
      </c>
      <c r="X234" s="207">
        <v>177</v>
      </c>
      <c r="Y234" s="207">
        <v>65</v>
      </c>
      <c r="Z234" s="207">
        <v>3</v>
      </c>
      <c r="AA234" s="207">
        <v>0</v>
      </c>
      <c r="AB234" s="207">
        <v>1437</v>
      </c>
      <c r="AC234" s="207">
        <v>18</v>
      </c>
      <c r="AD234" s="207">
        <v>513</v>
      </c>
      <c r="AE234" s="481">
        <v>1.1646342670494731</v>
      </c>
      <c r="AF234" s="207">
        <v>2006145.531706565</v>
      </c>
      <c r="AG234" s="207" t="e">
        <v>#DIV/0!</v>
      </c>
      <c r="AH234" s="207" t="e">
        <v>#DIV/0!</v>
      </c>
      <c r="AI234" s="207" t="e">
        <v>#DIV/0!</v>
      </c>
      <c r="AJ234" s="175">
        <v>69</v>
      </c>
      <c r="AK234" s="175">
        <v>585</v>
      </c>
      <c r="AL234" s="175">
        <v>1.2089753986586567</v>
      </c>
      <c r="AM234" s="175">
        <v>18</v>
      </c>
      <c r="AN234" s="175">
        <v>0.012345679012345678</v>
      </c>
      <c r="AO234" s="175">
        <v>0.009064599901882683</v>
      </c>
      <c r="AP234" s="175">
        <v>0</v>
      </c>
      <c r="AQ234" s="175">
        <v>3</v>
      </c>
      <c r="AR234" s="175">
        <v>0</v>
      </c>
      <c r="AS234" s="175">
        <v>0</v>
      </c>
      <c r="AT234" s="175">
        <v>0</v>
      </c>
      <c r="AU234" s="175">
        <v>463.31</v>
      </c>
      <c r="AV234" s="175">
        <v>3.1469210679674515</v>
      </c>
      <c r="AW234" s="175">
        <v>5.76770810226782</v>
      </c>
      <c r="AX234" s="175">
        <v>71</v>
      </c>
      <c r="AY234" s="175">
        <v>382</v>
      </c>
      <c r="AZ234" s="175">
        <v>0.18586387434554974</v>
      </c>
      <c r="BA234" s="175">
        <v>0.12468003826131524</v>
      </c>
      <c r="BB234" s="175">
        <v>0.230933</v>
      </c>
      <c r="BC234" s="207">
        <v>381</v>
      </c>
      <c r="BD234" s="175">
        <v>476</v>
      </c>
      <c r="BE234" s="175">
        <v>0.8004201680672269</v>
      </c>
      <c r="BF234" s="175">
        <v>0.39151328547613384</v>
      </c>
      <c r="BG234" s="175">
        <v>0</v>
      </c>
      <c r="BH234" s="175">
        <v>0</v>
      </c>
      <c r="BI234" s="207">
        <v>0</v>
      </c>
      <c r="BJ234" s="207">
        <v>-349.91999999999996</v>
      </c>
      <c r="BK234" s="207">
        <v>-5977.799999999999</v>
      </c>
      <c r="BL234" s="207">
        <v>-408.24000000000007</v>
      </c>
      <c r="BM234" s="207">
        <v>0</v>
      </c>
      <c r="BN234" s="207">
        <v>0</v>
      </c>
      <c r="BO234" s="207">
        <v>47662</v>
      </c>
      <c r="BP234" s="207">
        <v>-32807.320555787854</v>
      </c>
      <c r="BQ234" s="207">
        <v>-62052.48</v>
      </c>
      <c r="BR234" s="207">
        <v>109608.27899000607</v>
      </c>
      <c r="BS234" s="207">
        <v>194214</v>
      </c>
      <c r="BT234" s="207">
        <v>52652</v>
      </c>
      <c r="BU234" s="207">
        <v>152870.6242828669</v>
      </c>
      <c r="BV234" s="207">
        <v>8275.73137988836</v>
      </c>
      <c r="BW234" s="207">
        <v>23177.556399739366</v>
      </c>
      <c r="BX234" s="207">
        <v>76240.89283177744</v>
      </c>
      <c r="BY234" s="207">
        <v>87562.76628336812</v>
      </c>
      <c r="BZ234" s="207">
        <v>132934.73593552804</v>
      </c>
      <c r="CA234" s="207">
        <v>40130.98984996287</v>
      </c>
      <c r="CB234" s="207">
        <v>76298.40605732228</v>
      </c>
      <c r="CC234" s="207">
        <v>131.22</v>
      </c>
      <c r="CD234" s="207">
        <v>-14002.502101978618</v>
      </c>
      <c r="CE234" s="207">
        <v>216195.45047130756</v>
      </c>
      <c r="CF234" s="207">
        <v>24655.669915519713</v>
      </c>
      <c r="CG234" s="207">
        <v>71353.03358328009</v>
      </c>
      <c r="CH234" s="207">
        <v>113329.362109694</v>
      </c>
      <c r="CI234" s="207">
        <v>0</v>
      </c>
      <c r="CJ234" s="207">
        <v>1562820.5511377552</v>
      </c>
      <c r="CK234" s="207">
        <v>-219915</v>
      </c>
      <c r="CL234" s="207">
        <v>115889</v>
      </c>
      <c r="CM234" s="207">
        <v>190876</v>
      </c>
      <c r="CN234" s="207">
        <v>-74987</v>
      </c>
      <c r="CO234" s="207">
        <v>4259049.37085918</v>
      </c>
      <c r="CP234" s="207">
        <v>4965710.832216602</v>
      </c>
      <c r="CQ234" s="207">
        <v>1476</v>
      </c>
    </row>
    <row r="235" spans="1:95" ht="11.25">
      <c r="A235" s="207">
        <v>748</v>
      </c>
      <c r="B235" s="207" t="s">
        <v>291</v>
      </c>
      <c r="C235" s="207">
        <v>5249</v>
      </c>
      <c r="D235" s="207">
        <v>20900144.570000004</v>
      </c>
      <c r="E235" s="207">
        <v>7941255.251876447</v>
      </c>
      <c r="F235" s="207">
        <v>1439364.9293522069</v>
      </c>
      <c r="G235" s="207">
        <v>30280764.751228657</v>
      </c>
      <c r="H235" s="207">
        <v>3664.46</v>
      </c>
      <c r="I235" s="207">
        <v>19234750.54</v>
      </c>
      <c r="J235" s="207">
        <v>11046014.211228658</v>
      </c>
      <c r="K235" s="207">
        <v>165224.672185237</v>
      </c>
      <c r="L235" s="207">
        <v>-382056.62364354427</v>
      </c>
      <c r="M235" s="207">
        <v>0</v>
      </c>
      <c r="N235" s="207">
        <v>10829182.25977035</v>
      </c>
      <c r="O235" s="207">
        <v>4777339.568862443</v>
      </c>
      <c r="P235" s="207">
        <v>15606521.828632794</v>
      </c>
      <c r="Q235" s="207">
        <v>417</v>
      </c>
      <c r="R235" s="207">
        <v>77</v>
      </c>
      <c r="S235" s="207">
        <v>512</v>
      </c>
      <c r="T235" s="207">
        <v>237</v>
      </c>
      <c r="U235" s="207">
        <v>204</v>
      </c>
      <c r="V235" s="207">
        <v>2638</v>
      </c>
      <c r="W235" s="207">
        <v>711</v>
      </c>
      <c r="X235" s="207">
        <v>300</v>
      </c>
      <c r="Y235" s="207">
        <v>153</v>
      </c>
      <c r="Z235" s="207">
        <v>3</v>
      </c>
      <c r="AA235" s="207">
        <v>0</v>
      </c>
      <c r="AB235" s="207">
        <v>5159</v>
      </c>
      <c r="AC235" s="207">
        <v>87</v>
      </c>
      <c r="AD235" s="207">
        <v>1164</v>
      </c>
      <c r="AE235" s="481">
        <v>1.2805520512683033</v>
      </c>
      <c r="AF235" s="207">
        <v>7941255.251876447</v>
      </c>
      <c r="AG235" s="207" t="e">
        <v>#DIV/0!</v>
      </c>
      <c r="AH235" s="207" t="e">
        <v>#DIV/0!</v>
      </c>
      <c r="AI235" s="207" t="e">
        <v>#DIV/0!</v>
      </c>
      <c r="AJ235" s="175">
        <v>173</v>
      </c>
      <c r="AK235" s="175">
        <v>2173</v>
      </c>
      <c r="AL235" s="175">
        <v>0.8160384376187956</v>
      </c>
      <c r="AM235" s="175">
        <v>87</v>
      </c>
      <c r="AN235" s="175">
        <v>0.016574585635359115</v>
      </c>
      <c r="AO235" s="175">
        <v>0.01329350652489612</v>
      </c>
      <c r="AP235" s="175">
        <v>0</v>
      </c>
      <c r="AQ235" s="175">
        <v>3</v>
      </c>
      <c r="AR235" s="175">
        <v>0</v>
      </c>
      <c r="AS235" s="175">
        <v>0</v>
      </c>
      <c r="AT235" s="175">
        <v>0</v>
      </c>
      <c r="AU235" s="175">
        <v>1051.61</v>
      </c>
      <c r="AV235" s="175">
        <v>4.991394148020655</v>
      </c>
      <c r="AW235" s="175">
        <v>3.6363632289208794</v>
      </c>
      <c r="AX235" s="175">
        <v>183</v>
      </c>
      <c r="AY235" s="175">
        <v>1422</v>
      </c>
      <c r="AZ235" s="175">
        <v>0.12869198312236288</v>
      </c>
      <c r="BA235" s="175">
        <v>0.06750814703812838</v>
      </c>
      <c r="BB235" s="175">
        <v>0</v>
      </c>
      <c r="BC235" s="207">
        <v>1694</v>
      </c>
      <c r="BD235" s="175">
        <v>1907</v>
      </c>
      <c r="BE235" s="175">
        <v>0.8883062401678028</v>
      </c>
      <c r="BF235" s="175">
        <v>0.4793993575767097</v>
      </c>
      <c r="BG235" s="175">
        <v>0</v>
      </c>
      <c r="BH235" s="175">
        <v>0</v>
      </c>
      <c r="BI235" s="207">
        <v>0</v>
      </c>
      <c r="BJ235" s="207">
        <v>-1259.76</v>
      </c>
      <c r="BK235" s="207">
        <v>-21520.899999999998</v>
      </c>
      <c r="BL235" s="207">
        <v>-1469.72</v>
      </c>
      <c r="BM235" s="207">
        <v>0</v>
      </c>
      <c r="BN235" s="207">
        <v>0</v>
      </c>
      <c r="BO235" s="207">
        <v>70971</v>
      </c>
      <c r="BP235" s="207">
        <v>-95495.09639027144</v>
      </c>
      <c r="BQ235" s="207">
        <v>-223397.44</v>
      </c>
      <c r="BR235" s="207">
        <v>-83113.75313581899</v>
      </c>
      <c r="BS235" s="207">
        <v>465420</v>
      </c>
      <c r="BT235" s="207">
        <v>151091</v>
      </c>
      <c r="BU235" s="207">
        <v>374569.73627007403</v>
      </c>
      <c r="BV235" s="207">
        <v>18315.786693797167</v>
      </c>
      <c r="BW235" s="207">
        <v>52426.30817274111</v>
      </c>
      <c r="BX235" s="207">
        <v>175422.2095034288</v>
      </c>
      <c r="BY235" s="207">
        <v>273513.79267517006</v>
      </c>
      <c r="BZ235" s="207">
        <v>475831.0389942756</v>
      </c>
      <c r="CA235" s="207">
        <v>106326.49801252587</v>
      </c>
      <c r="CB235" s="207">
        <v>231133.4345225484</v>
      </c>
      <c r="CC235" s="207">
        <v>472.40999999999997</v>
      </c>
      <c r="CD235" s="207">
        <v>25413.62514184197</v>
      </c>
      <c r="CE235" s="207">
        <v>284897.1027467272</v>
      </c>
      <c r="CF235" s="207">
        <v>-382056.62364354427</v>
      </c>
      <c r="CG235" s="207">
        <v>265957.3107407042</v>
      </c>
      <c r="CH235" s="207">
        <v>303265.1134586781</v>
      </c>
      <c r="CI235" s="207">
        <v>0</v>
      </c>
      <c r="CJ235" s="207">
        <v>4777339.568862443</v>
      </c>
      <c r="CK235" s="207">
        <v>187694</v>
      </c>
      <c r="CL235" s="207">
        <v>383115.4</v>
      </c>
      <c r="CM235" s="207">
        <v>110435.40000000001</v>
      </c>
      <c r="CN235" s="207">
        <v>272680</v>
      </c>
      <c r="CO235" s="207">
        <v>15794215.828632794</v>
      </c>
      <c r="CP235" s="207">
        <v>17562293.490144633</v>
      </c>
      <c r="CQ235" s="207">
        <v>5343</v>
      </c>
    </row>
    <row r="236" spans="1:95" ht="11.25">
      <c r="A236" s="207">
        <v>791</v>
      </c>
      <c r="B236" s="207" t="s">
        <v>292</v>
      </c>
      <c r="C236" s="207">
        <v>5301</v>
      </c>
      <c r="D236" s="207">
        <v>20720929.46</v>
      </c>
      <c r="E236" s="207">
        <v>9724344.463202944</v>
      </c>
      <c r="F236" s="207">
        <v>2298439.838367554</v>
      </c>
      <c r="G236" s="207">
        <v>32743713.761570502</v>
      </c>
      <c r="H236" s="207">
        <v>3664.46</v>
      </c>
      <c r="I236" s="207">
        <v>19425302.46</v>
      </c>
      <c r="J236" s="207">
        <v>13318411.301570501</v>
      </c>
      <c r="K236" s="207">
        <v>2120603.000569109</v>
      </c>
      <c r="L236" s="207">
        <v>-480199.9915695219</v>
      </c>
      <c r="M236" s="207">
        <v>0</v>
      </c>
      <c r="N236" s="207">
        <v>14958814.310570087</v>
      </c>
      <c r="O236" s="207">
        <v>5599784.408459797</v>
      </c>
      <c r="P236" s="207">
        <v>20558598.719029885</v>
      </c>
      <c r="Q236" s="207">
        <v>273</v>
      </c>
      <c r="R236" s="207">
        <v>47</v>
      </c>
      <c r="S236" s="207">
        <v>365</v>
      </c>
      <c r="T236" s="207">
        <v>184</v>
      </c>
      <c r="U236" s="207">
        <v>159</v>
      </c>
      <c r="V236" s="207">
        <v>2681</v>
      </c>
      <c r="W236" s="207">
        <v>823</v>
      </c>
      <c r="X236" s="207">
        <v>525</v>
      </c>
      <c r="Y236" s="207">
        <v>244</v>
      </c>
      <c r="Z236" s="207">
        <v>4</v>
      </c>
      <c r="AA236" s="207">
        <v>0</v>
      </c>
      <c r="AB236" s="207">
        <v>5253</v>
      </c>
      <c r="AC236" s="207">
        <v>44</v>
      </c>
      <c r="AD236" s="207">
        <v>1592</v>
      </c>
      <c r="AE236" s="481">
        <v>1.552698678925677</v>
      </c>
      <c r="AF236" s="207">
        <v>9724344.463202944</v>
      </c>
      <c r="AG236" s="207" t="e">
        <v>#DIV/0!</v>
      </c>
      <c r="AH236" s="207" t="e">
        <v>#DIV/0!</v>
      </c>
      <c r="AI236" s="207" t="e">
        <v>#DIV/0!</v>
      </c>
      <c r="AJ236" s="175">
        <v>231</v>
      </c>
      <c r="AK236" s="175">
        <v>2320</v>
      </c>
      <c r="AL236" s="175">
        <v>1.0205827742237479</v>
      </c>
      <c r="AM236" s="175">
        <v>44</v>
      </c>
      <c r="AN236" s="175">
        <v>0.00830032069420864</v>
      </c>
      <c r="AO236" s="175">
        <v>0.005019241583745644</v>
      </c>
      <c r="AP236" s="175">
        <v>0</v>
      </c>
      <c r="AQ236" s="175">
        <v>4</v>
      </c>
      <c r="AR236" s="175">
        <v>0</v>
      </c>
      <c r="AS236" s="175">
        <v>0</v>
      </c>
      <c r="AT236" s="175">
        <v>0</v>
      </c>
      <c r="AU236" s="175">
        <v>2172.94</v>
      </c>
      <c r="AV236" s="175">
        <v>2.4395519434498882</v>
      </c>
      <c r="AW236" s="175">
        <v>7.440104806805483</v>
      </c>
      <c r="AX236" s="175">
        <v>207</v>
      </c>
      <c r="AY236" s="175">
        <v>1470</v>
      </c>
      <c r="AZ236" s="175">
        <v>0.14081632653061224</v>
      </c>
      <c r="BA236" s="175">
        <v>0.07963249044637774</v>
      </c>
      <c r="BB236" s="175">
        <v>1.119783</v>
      </c>
      <c r="BC236" s="207">
        <v>1962</v>
      </c>
      <c r="BD236" s="175">
        <v>2028</v>
      </c>
      <c r="BE236" s="175">
        <v>0.9674556213017751</v>
      </c>
      <c r="BF236" s="175">
        <v>0.558548738710682</v>
      </c>
      <c r="BG236" s="175">
        <v>0</v>
      </c>
      <c r="BH236" s="175">
        <v>0</v>
      </c>
      <c r="BI236" s="207">
        <v>0</v>
      </c>
      <c r="BJ236" s="207">
        <v>-1272.24</v>
      </c>
      <c r="BK236" s="207">
        <v>-21734.1</v>
      </c>
      <c r="BL236" s="207">
        <v>-1484.2800000000002</v>
      </c>
      <c r="BM236" s="207">
        <v>0</v>
      </c>
      <c r="BN236" s="207">
        <v>0</v>
      </c>
      <c r="BO236" s="207">
        <v>-21214</v>
      </c>
      <c r="BP236" s="207">
        <v>-19602.34546782516</v>
      </c>
      <c r="BQ236" s="207">
        <v>-225610.56</v>
      </c>
      <c r="BR236" s="207">
        <v>-166306.19408746436</v>
      </c>
      <c r="BS236" s="207">
        <v>624315</v>
      </c>
      <c r="BT236" s="207">
        <v>194814</v>
      </c>
      <c r="BU236" s="207">
        <v>524333.8768369056</v>
      </c>
      <c r="BV236" s="207">
        <v>27091.534205211276</v>
      </c>
      <c r="BW236" s="207">
        <v>67076.00854807171</v>
      </c>
      <c r="BX236" s="207">
        <v>250225.7736871039</v>
      </c>
      <c r="BY236" s="207">
        <v>339421.64570747496</v>
      </c>
      <c r="BZ236" s="207">
        <v>554868.6142696537</v>
      </c>
      <c r="CA236" s="207">
        <v>169167.16298962926</v>
      </c>
      <c r="CB236" s="207">
        <v>282338.4527027996</v>
      </c>
      <c r="CC236" s="207">
        <v>477.09</v>
      </c>
      <c r="CD236" s="207">
        <v>10727.83596246325</v>
      </c>
      <c r="CE236" s="207">
        <v>116522.2238983033</v>
      </c>
      <c r="CF236" s="207">
        <v>-480199.9915695219</v>
      </c>
      <c r="CG236" s="207">
        <v>287589.5020233044</v>
      </c>
      <c r="CH236" s="207">
        <v>409219.1576792584</v>
      </c>
      <c r="CI236" s="207">
        <v>0</v>
      </c>
      <c r="CJ236" s="207">
        <v>5599784.408459797</v>
      </c>
      <c r="CK236" s="207">
        <v>-619524</v>
      </c>
      <c r="CL236" s="207">
        <v>237299.77000000005</v>
      </c>
      <c r="CM236" s="207">
        <v>247620.708</v>
      </c>
      <c r="CN236" s="207">
        <v>-10320.937999999966</v>
      </c>
      <c r="CO236" s="207">
        <v>19939074.719029885</v>
      </c>
      <c r="CP236" s="207">
        <v>22149995.297013693</v>
      </c>
      <c r="CQ236" s="207">
        <v>5447</v>
      </c>
    </row>
    <row r="237" spans="1:95" ht="11.25">
      <c r="A237" s="207">
        <v>749</v>
      </c>
      <c r="B237" s="207" t="s">
        <v>293</v>
      </c>
      <c r="C237" s="207">
        <v>21674</v>
      </c>
      <c r="D237" s="207">
        <v>78428028.28</v>
      </c>
      <c r="E237" s="207">
        <v>26634152.04094577</v>
      </c>
      <c r="F237" s="207">
        <v>2345563.5205829134</v>
      </c>
      <c r="G237" s="207">
        <v>107407743.84152868</v>
      </c>
      <c r="H237" s="207">
        <v>3664.46</v>
      </c>
      <c r="I237" s="207">
        <v>79423506.04</v>
      </c>
      <c r="J237" s="207">
        <v>27984237.801528677</v>
      </c>
      <c r="K237" s="207">
        <v>505697.42481751036</v>
      </c>
      <c r="L237" s="207">
        <v>-2646510.1596530234</v>
      </c>
      <c r="M237" s="207">
        <v>0</v>
      </c>
      <c r="N237" s="207">
        <v>25843425.066693164</v>
      </c>
      <c r="O237" s="207">
        <v>5831930.160075061</v>
      </c>
      <c r="P237" s="207">
        <v>31675355.226768225</v>
      </c>
      <c r="Q237" s="207">
        <v>1577</v>
      </c>
      <c r="R237" s="207">
        <v>307</v>
      </c>
      <c r="S237" s="207">
        <v>1874</v>
      </c>
      <c r="T237" s="207">
        <v>871</v>
      </c>
      <c r="U237" s="207">
        <v>870</v>
      </c>
      <c r="V237" s="207">
        <v>11892</v>
      </c>
      <c r="W237" s="207">
        <v>2523</v>
      </c>
      <c r="X237" s="207">
        <v>1344</v>
      </c>
      <c r="Y237" s="207">
        <v>416</v>
      </c>
      <c r="Z237" s="207">
        <v>10</v>
      </c>
      <c r="AA237" s="207">
        <v>1</v>
      </c>
      <c r="AB237" s="207">
        <v>21379</v>
      </c>
      <c r="AC237" s="207">
        <v>284</v>
      </c>
      <c r="AD237" s="207">
        <v>4283</v>
      </c>
      <c r="AE237" s="481">
        <v>1.0401224227704144</v>
      </c>
      <c r="AF237" s="207">
        <v>26634152.04094577</v>
      </c>
      <c r="AG237" s="207" t="e">
        <v>#DIV/0!</v>
      </c>
      <c r="AH237" s="207" t="e">
        <v>#DIV/0!</v>
      </c>
      <c r="AI237" s="207" t="e">
        <v>#DIV/0!</v>
      </c>
      <c r="AJ237" s="175">
        <v>728</v>
      </c>
      <c r="AK237" s="175">
        <v>10221</v>
      </c>
      <c r="AL237" s="175">
        <v>0.7300661791519715</v>
      </c>
      <c r="AM237" s="175">
        <v>284</v>
      </c>
      <c r="AN237" s="175">
        <v>0.013103257359047707</v>
      </c>
      <c r="AO237" s="175">
        <v>0.00982217824858471</v>
      </c>
      <c r="AP237" s="175">
        <v>0</v>
      </c>
      <c r="AQ237" s="175">
        <v>10</v>
      </c>
      <c r="AR237" s="175">
        <v>1</v>
      </c>
      <c r="AS237" s="175">
        <v>0</v>
      </c>
      <c r="AT237" s="175">
        <v>0</v>
      </c>
      <c r="AU237" s="175">
        <v>400.96</v>
      </c>
      <c r="AV237" s="175">
        <v>54.05526735833999</v>
      </c>
      <c r="AW237" s="175">
        <v>0.3357771227101848</v>
      </c>
      <c r="AX237" s="175">
        <v>577</v>
      </c>
      <c r="AY237" s="175">
        <v>7086</v>
      </c>
      <c r="AZ237" s="175">
        <v>0.08142816821902342</v>
      </c>
      <c r="BA237" s="175">
        <v>0.020244332134788927</v>
      </c>
      <c r="BB237" s="175">
        <v>0</v>
      </c>
      <c r="BC237" s="207">
        <v>7038</v>
      </c>
      <c r="BD237" s="175">
        <v>9209</v>
      </c>
      <c r="BE237" s="175">
        <v>0.7642523618199587</v>
      </c>
      <c r="BF237" s="175">
        <v>0.3553454792288656</v>
      </c>
      <c r="BG237" s="175">
        <v>0</v>
      </c>
      <c r="BH237" s="175">
        <v>1</v>
      </c>
      <c r="BI237" s="207">
        <v>0</v>
      </c>
      <c r="BJ237" s="207">
        <v>-5201.76</v>
      </c>
      <c r="BK237" s="207">
        <v>-88863.4</v>
      </c>
      <c r="BL237" s="207">
        <v>-6068.72</v>
      </c>
      <c r="BM237" s="207">
        <v>0</v>
      </c>
      <c r="BN237" s="207">
        <v>0</v>
      </c>
      <c r="BO237" s="207">
        <v>5984</v>
      </c>
      <c r="BP237" s="207">
        <v>-1082306.5918981007</v>
      </c>
      <c r="BQ237" s="207">
        <v>-922445.4400000001</v>
      </c>
      <c r="BR237" s="207">
        <v>-59214.694434806705</v>
      </c>
      <c r="BS237" s="207">
        <v>1402958</v>
      </c>
      <c r="BT237" s="207">
        <v>450760</v>
      </c>
      <c r="BU237" s="207">
        <v>925488.7753349461</v>
      </c>
      <c r="BV237" s="207">
        <v>16784.10139488702</v>
      </c>
      <c r="BW237" s="207">
        <v>5877.08950053069</v>
      </c>
      <c r="BX237" s="207">
        <v>448920.0188770383</v>
      </c>
      <c r="BY237" s="207">
        <v>987855.0647120406</v>
      </c>
      <c r="BZ237" s="207">
        <v>1641445.0655553432</v>
      </c>
      <c r="CA237" s="207">
        <v>407506.34797263384</v>
      </c>
      <c r="CB237" s="207">
        <v>785784.5819224324</v>
      </c>
      <c r="CC237" s="207">
        <v>1950.6599999999999</v>
      </c>
      <c r="CD237" s="207">
        <v>-118099.429955993</v>
      </c>
      <c r="CE237" s="207">
        <v>795444.8122450773</v>
      </c>
      <c r="CF237" s="207">
        <v>-2646510.1596530234</v>
      </c>
      <c r="CG237" s="207">
        <v>943367.016635877</v>
      </c>
      <c r="CH237" s="207">
        <v>1080170.0975245854</v>
      </c>
      <c r="CI237" s="207">
        <v>0</v>
      </c>
      <c r="CJ237" s="207">
        <v>5831930.160075061</v>
      </c>
      <c r="CK237" s="207">
        <v>-1887082</v>
      </c>
      <c r="CL237" s="207">
        <v>795748.4099999998</v>
      </c>
      <c r="CM237" s="207">
        <v>511911.70780000003</v>
      </c>
      <c r="CN237" s="207">
        <v>283836.70219999977</v>
      </c>
      <c r="CO237" s="207">
        <v>29788273.226768225</v>
      </c>
      <c r="CP237" s="207">
        <v>32341760.463662535</v>
      </c>
      <c r="CQ237" s="207">
        <v>21657</v>
      </c>
    </row>
    <row r="238" spans="1:95" ht="11.25">
      <c r="A238" s="207">
        <v>751</v>
      </c>
      <c r="B238" s="207" t="s">
        <v>294</v>
      </c>
      <c r="C238" s="207">
        <v>3045</v>
      </c>
      <c r="D238" s="207">
        <v>11054327.16</v>
      </c>
      <c r="E238" s="207">
        <v>4105673.7218615753</v>
      </c>
      <c r="F238" s="207">
        <v>1443217.8681259952</v>
      </c>
      <c r="G238" s="207">
        <v>16603218.74998757</v>
      </c>
      <c r="H238" s="207">
        <v>3664.46</v>
      </c>
      <c r="I238" s="207">
        <v>11158280.7</v>
      </c>
      <c r="J238" s="207">
        <v>5444938.049987571</v>
      </c>
      <c r="K238" s="207">
        <v>34890.154954873105</v>
      </c>
      <c r="L238" s="207">
        <v>-209394.8067938826</v>
      </c>
      <c r="M238" s="207">
        <v>0</v>
      </c>
      <c r="N238" s="207">
        <v>5270433.398148562</v>
      </c>
      <c r="O238" s="207">
        <v>1685476.768714533</v>
      </c>
      <c r="P238" s="207">
        <v>6955910.166863095</v>
      </c>
      <c r="Q238" s="207">
        <v>111</v>
      </c>
      <c r="R238" s="207">
        <v>43</v>
      </c>
      <c r="S238" s="207">
        <v>196</v>
      </c>
      <c r="T238" s="207">
        <v>118</v>
      </c>
      <c r="U238" s="207">
        <v>127</v>
      </c>
      <c r="V238" s="207">
        <v>1485</v>
      </c>
      <c r="W238" s="207">
        <v>559</v>
      </c>
      <c r="X238" s="207">
        <v>318</v>
      </c>
      <c r="Y238" s="207">
        <v>88</v>
      </c>
      <c r="Z238" s="207">
        <v>4</v>
      </c>
      <c r="AA238" s="207">
        <v>0</v>
      </c>
      <c r="AB238" s="207">
        <v>3014</v>
      </c>
      <c r="AC238" s="207">
        <v>27</v>
      </c>
      <c r="AD238" s="207">
        <v>965</v>
      </c>
      <c r="AE238" s="481">
        <v>1.1412526248114099</v>
      </c>
      <c r="AF238" s="207">
        <v>4105673.7218615753</v>
      </c>
      <c r="AG238" s="207" t="e">
        <v>#DIV/0!</v>
      </c>
      <c r="AH238" s="207" t="e">
        <v>#DIV/0!</v>
      </c>
      <c r="AI238" s="207" t="e">
        <v>#DIV/0!</v>
      </c>
      <c r="AJ238" s="175">
        <v>125</v>
      </c>
      <c r="AK238" s="175">
        <v>1229</v>
      </c>
      <c r="AL238" s="175">
        <v>1.0425151357521052</v>
      </c>
      <c r="AM238" s="175">
        <v>27</v>
      </c>
      <c r="AN238" s="175">
        <v>0.008866995073891626</v>
      </c>
      <c r="AO238" s="175">
        <v>0.00558591596342863</v>
      </c>
      <c r="AP238" s="175">
        <v>0</v>
      </c>
      <c r="AQ238" s="175">
        <v>4</v>
      </c>
      <c r="AR238" s="175">
        <v>0</v>
      </c>
      <c r="AS238" s="175">
        <v>0</v>
      </c>
      <c r="AT238" s="175">
        <v>0</v>
      </c>
      <c r="AU238" s="175">
        <v>1447.34</v>
      </c>
      <c r="AV238" s="175">
        <v>2.1038594939682453</v>
      </c>
      <c r="AW238" s="175">
        <v>8.627250152850333</v>
      </c>
      <c r="AX238" s="175">
        <v>91</v>
      </c>
      <c r="AY238" s="175">
        <v>787</v>
      </c>
      <c r="AZ238" s="175">
        <v>0.1156289707750953</v>
      </c>
      <c r="BA238" s="175">
        <v>0.05444513469086081</v>
      </c>
      <c r="BB238" s="175">
        <v>0</v>
      </c>
      <c r="BC238" s="207">
        <v>598</v>
      </c>
      <c r="BD238" s="175">
        <v>1025</v>
      </c>
      <c r="BE238" s="175">
        <v>0.5834146341463414</v>
      </c>
      <c r="BF238" s="175">
        <v>0.17450775155524834</v>
      </c>
      <c r="BG238" s="175">
        <v>0</v>
      </c>
      <c r="BH238" s="175">
        <v>0</v>
      </c>
      <c r="BI238" s="207">
        <v>0</v>
      </c>
      <c r="BJ238" s="207">
        <v>-730.8</v>
      </c>
      <c r="BK238" s="207">
        <v>-12484.499999999998</v>
      </c>
      <c r="BL238" s="207">
        <v>-852.6000000000001</v>
      </c>
      <c r="BM238" s="207">
        <v>0</v>
      </c>
      <c r="BN238" s="207">
        <v>0</v>
      </c>
      <c r="BO238" s="207">
        <v>76854</v>
      </c>
      <c r="BP238" s="207">
        <v>-39379.62642706634</v>
      </c>
      <c r="BQ238" s="207">
        <v>-129595.20000000001</v>
      </c>
      <c r="BR238" s="207">
        <v>-78985.75758260861</v>
      </c>
      <c r="BS238" s="207">
        <v>281841</v>
      </c>
      <c r="BT238" s="207">
        <v>83216</v>
      </c>
      <c r="BU238" s="207">
        <v>185548.22637782278</v>
      </c>
      <c r="BV238" s="207">
        <v>9122.781979068071</v>
      </c>
      <c r="BW238" s="207">
        <v>27602.543467581676</v>
      </c>
      <c r="BX238" s="207">
        <v>93219.1741502555</v>
      </c>
      <c r="BY238" s="207">
        <v>151745.66252837007</v>
      </c>
      <c r="BZ238" s="207">
        <v>271138.6206094548</v>
      </c>
      <c r="CA238" s="207">
        <v>64696.26016120757</v>
      </c>
      <c r="CB238" s="207">
        <v>127187.68884795195</v>
      </c>
      <c r="CC238" s="207">
        <v>274.05</v>
      </c>
      <c r="CD238" s="207">
        <v>14510.314562153615</v>
      </c>
      <c r="CE238" s="207">
        <v>161493.96963318376</v>
      </c>
      <c r="CF238" s="207">
        <v>-209394.8067938826</v>
      </c>
      <c r="CG238" s="207">
        <v>145826.81265363877</v>
      </c>
      <c r="CH238" s="207">
        <v>153938.4972704717</v>
      </c>
      <c r="CI238" s="207">
        <v>0</v>
      </c>
      <c r="CJ238" s="207">
        <v>1685476.768714533</v>
      </c>
      <c r="CK238" s="207">
        <v>22557</v>
      </c>
      <c r="CL238" s="207">
        <v>42265.4</v>
      </c>
      <c r="CM238" s="207">
        <v>57262.8</v>
      </c>
      <c r="CN238" s="207">
        <v>-14997.400000000001</v>
      </c>
      <c r="CO238" s="207">
        <v>6978467.166863095</v>
      </c>
      <c r="CP238" s="207">
        <v>7978784.474699975</v>
      </c>
      <c r="CQ238" s="207">
        <v>3110</v>
      </c>
    </row>
    <row r="239" spans="1:95" ht="11.25">
      <c r="A239" s="207">
        <v>753</v>
      </c>
      <c r="B239" s="207" t="s">
        <v>295</v>
      </c>
      <c r="C239" s="207">
        <v>20666</v>
      </c>
      <c r="D239" s="207">
        <v>72798036.03</v>
      </c>
      <c r="E239" s="207">
        <v>16326063.878006482</v>
      </c>
      <c r="F239" s="207">
        <v>5993975.860163491</v>
      </c>
      <c r="G239" s="207">
        <v>95118075.76816998</v>
      </c>
      <c r="H239" s="207">
        <v>3664.46</v>
      </c>
      <c r="I239" s="207">
        <v>75729730.36</v>
      </c>
      <c r="J239" s="207">
        <v>19388345.408169985</v>
      </c>
      <c r="K239" s="207">
        <v>262398.50195495324</v>
      </c>
      <c r="L239" s="207">
        <v>-2043204.2962957672</v>
      </c>
      <c r="M239" s="207">
        <v>0</v>
      </c>
      <c r="N239" s="207">
        <v>17607539.613829173</v>
      </c>
      <c r="O239" s="207">
        <v>-5864140.736725397</v>
      </c>
      <c r="P239" s="207">
        <v>11743398.877103776</v>
      </c>
      <c r="Q239" s="207">
        <v>1330</v>
      </c>
      <c r="R239" s="207">
        <v>245</v>
      </c>
      <c r="S239" s="207">
        <v>1790</v>
      </c>
      <c r="T239" s="207">
        <v>850</v>
      </c>
      <c r="U239" s="207">
        <v>845</v>
      </c>
      <c r="V239" s="207">
        <v>11968</v>
      </c>
      <c r="W239" s="207">
        <v>2122</v>
      </c>
      <c r="X239" s="207">
        <v>1088</v>
      </c>
      <c r="Y239" s="207">
        <v>428</v>
      </c>
      <c r="Z239" s="207">
        <v>6611</v>
      </c>
      <c r="AA239" s="207">
        <v>3</v>
      </c>
      <c r="AB239" s="207">
        <v>13045</v>
      </c>
      <c r="AC239" s="207">
        <v>1007</v>
      </c>
      <c r="AD239" s="207">
        <v>3638</v>
      </c>
      <c r="AE239" s="481">
        <v>0.6686667371102564</v>
      </c>
      <c r="AF239" s="207">
        <v>16326063.878006482</v>
      </c>
      <c r="AG239" s="207" t="e">
        <v>#DIV/0!</v>
      </c>
      <c r="AH239" s="207" t="e">
        <v>#DIV/0!</v>
      </c>
      <c r="AI239" s="207" t="e">
        <v>#DIV/0!</v>
      </c>
      <c r="AJ239" s="175">
        <v>573</v>
      </c>
      <c r="AK239" s="175">
        <v>10202</v>
      </c>
      <c r="AL239" s="175">
        <v>0.5756964370546482</v>
      </c>
      <c r="AM239" s="175">
        <v>1007</v>
      </c>
      <c r="AN239" s="175">
        <v>0.04872737830252589</v>
      </c>
      <c r="AO239" s="175">
        <v>0.04544629919206289</v>
      </c>
      <c r="AP239" s="175">
        <v>1</v>
      </c>
      <c r="AQ239" s="175">
        <v>6611</v>
      </c>
      <c r="AR239" s="175">
        <v>3</v>
      </c>
      <c r="AS239" s="175">
        <v>3</v>
      </c>
      <c r="AT239" s="175">
        <v>224</v>
      </c>
      <c r="AU239" s="175">
        <v>339.62</v>
      </c>
      <c r="AV239" s="175">
        <v>60.85036216948354</v>
      </c>
      <c r="AW239" s="175">
        <v>0.2982812508224587</v>
      </c>
      <c r="AX239" s="175">
        <v>940</v>
      </c>
      <c r="AY239" s="175">
        <v>7258</v>
      </c>
      <c r="AZ239" s="175">
        <v>0.12951226233122073</v>
      </c>
      <c r="BA239" s="175">
        <v>0.06832842624698623</v>
      </c>
      <c r="BB239" s="175">
        <v>0</v>
      </c>
      <c r="BC239" s="207">
        <v>5697</v>
      </c>
      <c r="BD239" s="175">
        <v>9459</v>
      </c>
      <c r="BE239" s="175">
        <v>0.6022835394862036</v>
      </c>
      <c r="BF239" s="175">
        <v>0.19337665689511052</v>
      </c>
      <c r="BG239" s="175">
        <v>0</v>
      </c>
      <c r="BH239" s="175">
        <v>3</v>
      </c>
      <c r="BI239" s="207">
        <v>0</v>
      </c>
      <c r="BJ239" s="207">
        <v>-4959.84</v>
      </c>
      <c r="BK239" s="207">
        <v>-84730.59999999999</v>
      </c>
      <c r="BL239" s="207">
        <v>-5786.4800000000005</v>
      </c>
      <c r="BM239" s="207">
        <v>0</v>
      </c>
      <c r="BN239" s="207">
        <v>0</v>
      </c>
      <c r="BO239" s="207">
        <v>-139882</v>
      </c>
      <c r="BP239" s="207">
        <v>-798570.8888001747</v>
      </c>
      <c r="BQ239" s="207">
        <v>-879544.9600000001</v>
      </c>
      <c r="BR239" s="207">
        <v>338261.93236998096</v>
      </c>
      <c r="BS239" s="207">
        <v>1224672</v>
      </c>
      <c r="BT239" s="207">
        <v>413367</v>
      </c>
      <c r="BU239" s="207">
        <v>738996.3770171361</v>
      </c>
      <c r="BV239" s="207">
        <v>4966.691090181297</v>
      </c>
      <c r="BW239" s="207">
        <v>-246469.34371148542</v>
      </c>
      <c r="BX239" s="207">
        <v>217092.7317241785</v>
      </c>
      <c r="BY239" s="207">
        <v>777019.1322790805</v>
      </c>
      <c r="BZ239" s="207">
        <v>1260306.423448747</v>
      </c>
      <c r="CA239" s="207">
        <v>390673.80812010495</v>
      </c>
      <c r="CB239" s="207">
        <v>668764.487692887</v>
      </c>
      <c r="CC239" s="207">
        <v>1859.9399999999998</v>
      </c>
      <c r="CD239" s="207">
        <v>-50851.512310558566</v>
      </c>
      <c r="CE239" s="207">
        <v>1005274.0125044071</v>
      </c>
      <c r="CF239" s="207">
        <v>-2043204.2962957672</v>
      </c>
      <c r="CG239" s="207">
        <v>835426.3124449847</v>
      </c>
      <c r="CH239" s="207">
        <v>879634.6287843976</v>
      </c>
      <c r="CI239" s="207">
        <v>0</v>
      </c>
      <c r="CJ239" s="207">
        <v>-5864140.736725397</v>
      </c>
      <c r="CK239" s="207">
        <v>-1548664</v>
      </c>
      <c r="CL239" s="207">
        <v>1097605.1699999997</v>
      </c>
      <c r="CM239" s="207">
        <v>1132963.5856</v>
      </c>
      <c r="CN239" s="207">
        <v>-35358.415600000415</v>
      </c>
      <c r="CO239" s="207">
        <v>10194734.877103776</v>
      </c>
      <c r="CP239" s="207">
        <v>14427727.489890775</v>
      </c>
      <c r="CQ239" s="207">
        <v>20310</v>
      </c>
    </row>
    <row r="240" spans="1:95" ht="11.25">
      <c r="A240" s="207">
        <v>755</v>
      </c>
      <c r="B240" s="207" t="s">
        <v>296</v>
      </c>
      <c r="C240" s="207">
        <v>6134</v>
      </c>
      <c r="D240" s="207">
        <v>20811630.880000003</v>
      </c>
      <c r="E240" s="207">
        <v>4940624.065077722</v>
      </c>
      <c r="F240" s="207">
        <v>1894886.4636218615</v>
      </c>
      <c r="G240" s="207">
        <v>27647141.408699587</v>
      </c>
      <c r="H240" s="207">
        <v>3664.46</v>
      </c>
      <c r="I240" s="207">
        <v>22477797.64</v>
      </c>
      <c r="J240" s="207">
        <v>5169343.768699586</v>
      </c>
      <c r="K240" s="207">
        <v>33042.379996052936</v>
      </c>
      <c r="L240" s="207">
        <v>-465600.787124802</v>
      </c>
      <c r="M240" s="207">
        <v>0</v>
      </c>
      <c r="N240" s="207">
        <v>4736785.361570837</v>
      </c>
      <c r="O240" s="207">
        <v>-602908.5282937291</v>
      </c>
      <c r="P240" s="207">
        <v>4133876.833277108</v>
      </c>
      <c r="Q240" s="207">
        <v>375</v>
      </c>
      <c r="R240" s="207">
        <v>70</v>
      </c>
      <c r="S240" s="207">
        <v>549</v>
      </c>
      <c r="T240" s="207">
        <v>267</v>
      </c>
      <c r="U240" s="207">
        <v>225</v>
      </c>
      <c r="V240" s="207">
        <v>3508</v>
      </c>
      <c r="W240" s="207">
        <v>777</v>
      </c>
      <c r="X240" s="207">
        <v>278</v>
      </c>
      <c r="Y240" s="207">
        <v>85</v>
      </c>
      <c r="Z240" s="207">
        <v>1729</v>
      </c>
      <c r="AA240" s="207">
        <v>0</v>
      </c>
      <c r="AB240" s="207">
        <v>4086</v>
      </c>
      <c r="AC240" s="207">
        <v>319</v>
      </c>
      <c r="AD240" s="207">
        <v>1140</v>
      </c>
      <c r="AE240" s="481">
        <v>0.6817461454543732</v>
      </c>
      <c r="AF240" s="207">
        <v>4940624.065077722</v>
      </c>
      <c r="AG240" s="207" t="e">
        <v>#DIV/0!</v>
      </c>
      <c r="AH240" s="207" t="e">
        <v>#DIV/0!</v>
      </c>
      <c r="AI240" s="207" t="e">
        <v>#DIV/0!</v>
      </c>
      <c r="AJ240" s="175">
        <v>172</v>
      </c>
      <c r="AK240" s="175">
        <v>3095</v>
      </c>
      <c r="AL240" s="175">
        <v>0.5696289228209783</v>
      </c>
      <c r="AM240" s="175">
        <v>319</v>
      </c>
      <c r="AN240" s="175">
        <v>0.05200521682425823</v>
      </c>
      <c r="AO240" s="175">
        <v>0.04872413771379523</v>
      </c>
      <c r="AP240" s="175">
        <v>1</v>
      </c>
      <c r="AQ240" s="175">
        <v>1729</v>
      </c>
      <c r="AR240" s="175">
        <v>0</v>
      </c>
      <c r="AS240" s="175">
        <v>0</v>
      </c>
      <c r="AT240" s="175">
        <v>0</v>
      </c>
      <c r="AU240" s="175">
        <v>241.1</v>
      </c>
      <c r="AV240" s="175">
        <v>25.4417254251348</v>
      </c>
      <c r="AW240" s="175">
        <v>0.7134155344268285</v>
      </c>
      <c r="AX240" s="175">
        <v>340</v>
      </c>
      <c r="AY240" s="175">
        <v>2227</v>
      </c>
      <c r="AZ240" s="175">
        <v>0.15267175572519084</v>
      </c>
      <c r="BA240" s="175">
        <v>0.09148791964095634</v>
      </c>
      <c r="BB240" s="175">
        <v>0</v>
      </c>
      <c r="BC240" s="207">
        <v>1410</v>
      </c>
      <c r="BD240" s="175">
        <v>2872</v>
      </c>
      <c r="BE240" s="175">
        <v>0.4909470752089137</v>
      </c>
      <c r="BF240" s="175">
        <v>0.08204019261782058</v>
      </c>
      <c r="BG240" s="175">
        <v>0</v>
      </c>
      <c r="BH240" s="175">
        <v>0</v>
      </c>
      <c r="BI240" s="207">
        <v>0</v>
      </c>
      <c r="BJ240" s="207">
        <v>-1472.1599999999999</v>
      </c>
      <c r="BK240" s="207">
        <v>-25149.399999999998</v>
      </c>
      <c r="BL240" s="207">
        <v>-1717.5200000000002</v>
      </c>
      <c r="BM240" s="207">
        <v>0</v>
      </c>
      <c r="BN240" s="207">
        <v>0</v>
      </c>
      <c r="BO240" s="207">
        <v>25135</v>
      </c>
      <c r="BP240" s="207">
        <v>-204120.10594616138</v>
      </c>
      <c r="BQ240" s="207">
        <v>-261063.04</v>
      </c>
      <c r="BR240" s="207">
        <v>113029.24575293995</v>
      </c>
      <c r="BS240" s="207">
        <v>469181</v>
      </c>
      <c r="BT240" s="207">
        <v>150862</v>
      </c>
      <c r="BU240" s="207">
        <v>268572.64857911115</v>
      </c>
      <c r="BV240" s="207">
        <v>-1211.545421818339</v>
      </c>
      <c r="BW240" s="207">
        <v>-61896.04433055531</v>
      </c>
      <c r="BX240" s="207">
        <v>43681.11176883208</v>
      </c>
      <c r="BY240" s="207">
        <v>308848.1520468308</v>
      </c>
      <c r="BZ240" s="207">
        <v>486273.20829363336</v>
      </c>
      <c r="CA240" s="207">
        <v>135083.05323816193</v>
      </c>
      <c r="CB240" s="207">
        <v>223668.66650105477</v>
      </c>
      <c r="CC240" s="207">
        <v>552.06</v>
      </c>
      <c r="CD240" s="207">
        <v>18712.85390120282</v>
      </c>
      <c r="CE240" s="207">
        <v>406327.89882135927</v>
      </c>
      <c r="CF240" s="207">
        <v>-465600.787124802</v>
      </c>
      <c r="CG240" s="207">
        <v>242826.0791672164</v>
      </c>
      <c r="CH240" s="207">
        <v>323070.38729171676</v>
      </c>
      <c r="CI240" s="207">
        <v>0</v>
      </c>
      <c r="CJ240" s="207">
        <v>-602908.5282937291</v>
      </c>
      <c r="CK240" s="207">
        <v>-1381042</v>
      </c>
      <c r="CL240" s="207">
        <v>237299.77</v>
      </c>
      <c r="CM240" s="207">
        <v>1207822.4259999997</v>
      </c>
      <c r="CN240" s="207">
        <v>-970522.6559999997</v>
      </c>
      <c r="CO240" s="207">
        <v>2752834.833277108</v>
      </c>
      <c r="CP240" s="207">
        <v>4495107.021933566</v>
      </c>
      <c r="CQ240" s="207">
        <v>6146</v>
      </c>
    </row>
    <row r="241" spans="1:95" ht="11.25">
      <c r="A241" s="207">
        <v>758</v>
      </c>
      <c r="B241" s="207" t="s">
        <v>297</v>
      </c>
      <c r="C241" s="207">
        <v>8444</v>
      </c>
      <c r="D241" s="207">
        <v>27943890.64</v>
      </c>
      <c r="E241" s="207">
        <v>12155984.258216877</v>
      </c>
      <c r="F241" s="207">
        <v>7806061.979889623</v>
      </c>
      <c r="G241" s="207">
        <v>47905936.8781065</v>
      </c>
      <c r="H241" s="207">
        <v>3664.46</v>
      </c>
      <c r="I241" s="207">
        <v>30942700.240000002</v>
      </c>
      <c r="J241" s="207">
        <v>16963236.638106495</v>
      </c>
      <c r="K241" s="207">
        <v>4470849.217333122</v>
      </c>
      <c r="L241" s="207">
        <v>-472732.634612693</v>
      </c>
      <c r="M241" s="207">
        <v>0</v>
      </c>
      <c r="N241" s="207">
        <v>20961353.220826924</v>
      </c>
      <c r="O241" s="207">
        <v>2940693.1290455055</v>
      </c>
      <c r="P241" s="207">
        <v>23902046.34987243</v>
      </c>
      <c r="Q241" s="207">
        <v>430</v>
      </c>
      <c r="R241" s="207">
        <v>81</v>
      </c>
      <c r="S241" s="207">
        <v>478</v>
      </c>
      <c r="T241" s="207">
        <v>201</v>
      </c>
      <c r="U241" s="207">
        <v>226</v>
      </c>
      <c r="V241" s="207">
        <v>4761</v>
      </c>
      <c r="W241" s="207">
        <v>1288</v>
      </c>
      <c r="X241" s="207">
        <v>738</v>
      </c>
      <c r="Y241" s="207">
        <v>241</v>
      </c>
      <c r="Z241" s="207">
        <v>15</v>
      </c>
      <c r="AA241" s="207">
        <v>136</v>
      </c>
      <c r="AB241" s="207">
        <v>8171</v>
      </c>
      <c r="AC241" s="207">
        <v>122</v>
      </c>
      <c r="AD241" s="207">
        <v>2267</v>
      </c>
      <c r="AE241" s="481">
        <v>1.2185028736413566</v>
      </c>
      <c r="AF241" s="207">
        <v>12155984.258216877</v>
      </c>
      <c r="AG241" s="207" t="e">
        <v>#DIV/0!</v>
      </c>
      <c r="AH241" s="207" t="e">
        <v>#DIV/0!</v>
      </c>
      <c r="AI241" s="207" t="e">
        <v>#DIV/0!</v>
      </c>
      <c r="AJ241" s="175">
        <v>363</v>
      </c>
      <c r="AK241" s="175">
        <v>3990</v>
      </c>
      <c r="AL241" s="175">
        <v>0.9325195989326905</v>
      </c>
      <c r="AM241" s="175">
        <v>122</v>
      </c>
      <c r="AN241" s="175">
        <v>0.014448128848886783</v>
      </c>
      <c r="AO241" s="175">
        <v>0.011167049738423786</v>
      </c>
      <c r="AP241" s="175">
        <v>0</v>
      </c>
      <c r="AQ241" s="175">
        <v>15</v>
      </c>
      <c r="AR241" s="175">
        <v>136</v>
      </c>
      <c r="AS241" s="175">
        <v>0</v>
      </c>
      <c r="AT241" s="175">
        <v>0</v>
      </c>
      <c r="AU241" s="175">
        <v>11691.64</v>
      </c>
      <c r="AV241" s="175">
        <v>0.7222254534008916</v>
      </c>
      <c r="AW241" s="175">
        <v>25.131379758833024</v>
      </c>
      <c r="AX241" s="175">
        <v>247</v>
      </c>
      <c r="AY241" s="175">
        <v>2408</v>
      </c>
      <c r="AZ241" s="175">
        <v>0.10257475083056479</v>
      </c>
      <c r="BA241" s="175">
        <v>0.0413909147463303</v>
      </c>
      <c r="BB241" s="175">
        <v>1.374116</v>
      </c>
      <c r="BC241" s="207">
        <v>3492</v>
      </c>
      <c r="BD241" s="175">
        <v>3465</v>
      </c>
      <c r="BE241" s="175">
        <v>1.0077922077922077</v>
      </c>
      <c r="BF241" s="175">
        <v>0.5988853252011146</v>
      </c>
      <c r="BG241" s="175">
        <v>1</v>
      </c>
      <c r="BH241" s="175">
        <v>136</v>
      </c>
      <c r="BI241" s="207">
        <v>0</v>
      </c>
      <c r="BJ241" s="207">
        <v>-2026.56</v>
      </c>
      <c r="BK241" s="207">
        <v>-34620.399999999994</v>
      </c>
      <c r="BL241" s="207">
        <v>-2364.32</v>
      </c>
      <c r="BM241" s="207">
        <v>0</v>
      </c>
      <c r="BN241" s="207">
        <v>0</v>
      </c>
      <c r="BO241" s="207">
        <v>420189</v>
      </c>
      <c r="BP241" s="207">
        <v>-95943.1808653489</v>
      </c>
      <c r="BQ241" s="207">
        <v>-359376.64</v>
      </c>
      <c r="BR241" s="207">
        <v>-287297.2251544371</v>
      </c>
      <c r="BS241" s="207">
        <v>693231</v>
      </c>
      <c r="BT241" s="207">
        <v>237883</v>
      </c>
      <c r="BU241" s="207">
        <v>592945.920689107</v>
      </c>
      <c r="BV241" s="207">
        <v>31524.228177903762</v>
      </c>
      <c r="BW241" s="207">
        <v>91412.20974928621</v>
      </c>
      <c r="BX241" s="207">
        <v>255352.7917019284</v>
      </c>
      <c r="BY241" s="207">
        <v>455936.6736646317</v>
      </c>
      <c r="BZ241" s="207">
        <v>690645.5411653761</v>
      </c>
      <c r="CA241" s="207">
        <v>222010.79883570335</v>
      </c>
      <c r="CB241" s="207">
        <v>375931.65217117127</v>
      </c>
      <c r="CC241" s="207">
        <v>759.9599999999999</v>
      </c>
      <c r="CD241" s="207">
        <v>-20262.454190634002</v>
      </c>
      <c r="CE241" s="207">
        <v>542508.8262526559</v>
      </c>
      <c r="CF241" s="207">
        <v>-472732.634612693</v>
      </c>
      <c r="CG241" s="207">
        <v>420759.98559772706</v>
      </c>
      <c r="CH241" s="207">
        <v>522072.64559907623</v>
      </c>
      <c r="CI241" s="207">
        <v>0</v>
      </c>
      <c r="CJ241" s="207">
        <v>2940693.1290455055</v>
      </c>
      <c r="CK241" s="207">
        <v>-718928</v>
      </c>
      <c r="CL241" s="207">
        <v>35448.4</v>
      </c>
      <c r="CM241" s="207">
        <v>81804</v>
      </c>
      <c r="CN241" s="207">
        <v>-46355.6</v>
      </c>
      <c r="CO241" s="207">
        <v>23183118.34987243</v>
      </c>
      <c r="CP241" s="207">
        <v>25128859.888171636</v>
      </c>
      <c r="CQ241" s="207">
        <v>8545</v>
      </c>
    </row>
    <row r="242" spans="1:95" ht="11.25">
      <c r="A242" s="207">
        <v>759</v>
      </c>
      <c r="B242" s="207" t="s">
        <v>298</v>
      </c>
      <c r="C242" s="207">
        <v>2085</v>
      </c>
      <c r="D242" s="207">
        <v>8142608.64</v>
      </c>
      <c r="E242" s="207">
        <v>3482851.224321073</v>
      </c>
      <c r="F242" s="207">
        <v>650264.6020976425</v>
      </c>
      <c r="G242" s="207">
        <v>12275724.466418713</v>
      </c>
      <c r="H242" s="207">
        <v>3664.46</v>
      </c>
      <c r="I242" s="207">
        <v>7640399.1</v>
      </c>
      <c r="J242" s="207">
        <v>4635325.366418714</v>
      </c>
      <c r="K242" s="207">
        <v>315184.8590329637</v>
      </c>
      <c r="L242" s="207">
        <v>-185731.05740442258</v>
      </c>
      <c r="M242" s="207">
        <v>0</v>
      </c>
      <c r="N242" s="207">
        <v>4764779.168047255</v>
      </c>
      <c r="O242" s="207">
        <v>2378367.9518660186</v>
      </c>
      <c r="P242" s="207">
        <v>7143147.1199132735</v>
      </c>
      <c r="Q242" s="207">
        <v>128</v>
      </c>
      <c r="R242" s="207">
        <v>31</v>
      </c>
      <c r="S242" s="207">
        <v>129</v>
      </c>
      <c r="T242" s="207">
        <v>67</v>
      </c>
      <c r="U242" s="207">
        <v>76</v>
      </c>
      <c r="V242" s="207">
        <v>1025</v>
      </c>
      <c r="W242" s="207">
        <v>333</v>
      </c>
      <c r="X242" s="207">
        <v>209</v>
      </c>
      <c r="Y242" s="207">
        <v>87</v>
      </c>
      <c r="Z242" s="207">
        <v>4</v>
      </c>
      <c r="AA242" s="207">
        <v>0</v>
      </c>
      <c r="AB242" s="207">
        <v>2067</v>
      </c>
      <c r="AC242" s="207">
        <v>14</v>
      </c>
      <c r="AD242" s="207">
        <v>629</v>
      </c>
      <c r="AE242" s="481">
        <v>1.413883145186517</v>
      </c>
      <c r="AF242" s="207">
        <v>3482851.224321073</v>
      </c>
      <c r="AG242" s="207" t="e">
        <v>#DIV/0!</v>
      </c>
      <c r="AH242" s="207" t="e">
        <v>#DIV/0!</v>
      </c>
      <c r="AI242" s="207" t="e">
        <v>#DIV/0!</v>
      </c>
      <c r="AJ242" s="175">
        <v>74</v>
      </c>
      <c r="AK242" s="175">
        <v>875</v>
      </c>
      <c r="AL242" s="175">
        <v>0.8668578883301573</v>
      </c>
      <c r="AM242" s="175">
        <v>14</v>
      </c>
      <c r="AN242" s="175">
        <v>0.00671462829736211</v>
      </c>
      <c r="AO242" s="175">
        <v>0.0034335491868991135</v>
      </c>
      <c r="AP242" s="175">
        <v>0</v>
      </c>
      <c r="AQ242" s="175">
        <v>4</v>
      </c>
      <c r="AR242" s="175">
        <v>0</v>
      </c>
      <c r="AS242" s="175">
        <v>0</v>
      </c>
      <c r="AT242" s="175">
        <v>0</v>
      </c>
      <c r="AU242" s="175">
        <v>551.95</v>
      </c>
      <c r="AV242" s="175">
        <v>3.7775160793550135</v>
      </c>
      <c r="AW242" s="175">
        <v>4.804882827662842</v>
      </c>
      <c r="AX242" s="175">
        <v>74</v>
      </c>
      <c r="AY242" s="175">
        <v>517</v>
      </c>
      <c r="AZ242" s="175">
        <v>0.14313346228239845</v>
      </c>
      <c r="BA242" s="175">
        <v>0.08194962619816396</v>
      </c>
      <c r="BB242" s="175">
        <v>0.520632</v>
      </c>
      <c r="BC242" s="207">
        <v>722</v>
      </c>
      <c r="BD242" s="175">
        <v>725</v>
      </c>
      <c r="BE242" s="175">
        <v>0.9958620689655172</v>
      </c>
      <c r="BF242" s="175">
        <v>0.5869551863744241</v>
      </c>
      <c r="BG242" s="175">
        <v>0</v>
      </c>
      <c r="BH242" s="175">
        <v>0</v>
      </c>
      <c r="BI242" s="207">
        <v>0</v>
      </c>
      <c r="BJ242" s="207">
        <v>-500.4</v>
      </c>
      <c r="BK242" s="207">
        <v>-8548.5</v>
      </c>
      <c r="BL242" s="207">
        <v>-583.8000000000001</v>
      </c>
      <c r="BM242" s="207">
        <v>0</v>
      </c>
      <c r="BN242" s="207">
        <v>0</v>
      </c>
      <c r="BO242" s="207">
        <v>12453</v>
      </c>
      <c r="BP242" s="207">
        <v>-67323.99184206789</v>
      </c>
      <c r="BQ242" s="207">
        <v>-88737.6</v>
      </c>
      <c r="BR242" s="207">
        <v>-12221.49818348512</v>
      </c>
      <c r="BS242" s="207">
        <v>262591</v>
      </c>
      <c r="BT242" s="207">
        <v>74315</v>
      </c>
      <c r="BU242" s="207">
        <v>200718.70552327146</v>
      </c>
      <c r="BV242" s="207">
        <v>11886.434532257832</v>
      </c>
      <c r="BW242" s="207">
        <v>31400.727928979493</v>
      </c>
      <c r="BX242" s="207">
        <v>102409.69369838842</v>
      </c>
      <c r="BY242" s="207">
        <v>132599.5516883108</v>
      </c>
      <c r="BZ242" s="207">
        <v>196220.17433588332</v>
      </c>
      <c r="CA242" s="207">
        <v>57387.52955641732</v>
      </c>
      <c r="CB242" s="207">
        <v>105689.84633192497</v>
      </c>
      <c r="CC242" s="207">
        <v>187.65</v>
      </c>
      <c r="CD242" s="207">
        <v>-1714.6542465534949</v>
      </c>
      <c r="CE242" s="207">
        <v>108586.88443764535</v>
      </c>
      <c r="CF242" s="207">
        <v>-185731.05740442258</v>
      </c>
      <c r="CG242" s="207">
        <v>107818.23686768397</v>
      </c>
      <c r="CH242" s="207">
        <v>152579.3668648292</v>
      </c>
      <c r="CI242" s="207">
        <v>0</v>
      </c>
      <c r="CJ242" s="207">
        <v>2378367.9518660186</v>
      </c>
      <c r="CK242" s="207">
        <v>-514240</v>
      </c>
      <c r="CL242" s="207">
        <v>334033</v>
      </c>
      <c r="CM242" s="207">
        <v>87462.11</v>
      </c>
      <c r="CN242" s="207">
        <v>246570.89</v>
      </c>
      <c r="CO242" s="207">
        <v>6628907.1199132735</v>
      </c>
      <c r="CP242" s="207">
        <v>7591176.25997594</v>
      </c>
      <c r="CQ242" s="207">
        <v>2114</v>
      </c>
    </row>
    <row r="243" spans="1:95" ht="11.25">
      <c r="A243" s="207">
        <v>761</v>
      </c>
      <c r="B243" s="207" t="s">
        <v>299</v>
      </c>
      <c r="C243" s="207">
        <v>8828</v>
      </c>
      <c r="D243" s="207">
        <v>34287457.61</v>
      </c>
      <c r="E243" s="207">
        <v>11750115.633140584</v>
      </c>
      <c r="F243" s="207">
        <v>2027661.0408293593</v>
      </c>
      <c r="G243" s="207">
        <v>48065234.283969946</v>
      </c>
      <c r="H243" s="207">
        <v>3664.46</v>
      </c>
      <c r="I243" s="207">
        <v>32349852.88</v>
      </c>
      <c r="J243" s="207">
        <v>15715381.403969947</v>
      </c>
      <c r="K243" s="207">
        <v>238729.447658541</v>
      </c>
      <c r="L243" s="207">
        <v>-661241.1309298291</v>
      </c>
      <c r="M243" s="207">
        <v>0</v>
      </c>
      <c r="N243" s="207">
        <v>15292869.720698658</v>
      </c>
      <c r="O243" s="207">
        <v>6833837.56569168</v>
      </c>
      <c r="P243" s="207">
        <v>22126707.286390338</v>
      </c>
      <c r="Q243" s="207">
        <v>413</v>
      </c>
      <c r="R243" s="207">
        <v>85</v>
      </c>
      <c r="S243" s="207">
        <v>520</v>
      </c>
      <c r="T243" s="207">
        <v>317</v>
      </c>
      <c r="U243" s="207">
        <v>280</v>
      </c>
      <c r="V243" s="207">
        <v>4432</v>
      </c>
      <c r="W243" s="207">
        <v>1455</v>
      </c>
      <c r="X243" s="207">
        <v>909</v>
      </c>
      <c r="Y243" s="207">
        <v>417</v>
      </c>
      <c r="Z243" s="207">
        <v>50</v>
      </c>
      <c r="AA243" s="207">
        <v>0</v>
      </c>
      <c r="AB243" s="207">
        <v>8512</v>
      </c>
      <c r="AC243" s="207">
        <v>266</v>
      </c>
      <c r="AD243" s="207">
        <v>2781</v>
      </c>
      <c r="AE243" s="481">
        <v>1.1265863097793254</v>
      </c>
      <c r="AF243" s="207">
        <v>11750115.633140584</v>
      </c>
      <c r="AG243" s="207" t="e">
        <v>#DIV/0!</v>
      </c>
      <c r="AH243" s="207" t="e">
        <v>#DIV/0!</v>
      </c>
      <c r="AI243" s="207" t="e">
        <v>#DIV/0!</v>
      </c>
      <c r="AJ243" s="175">
        <v>284</v>
      </c>
      <c r="AK243" s="175">
        <v>3796</v>
      </c>
      <c r="AL243" s="175">
        <v>0.7668605119544188</v>
      </c>
      <c r="AM243" s="175">
        <v>266</v>
      </c>
      <c r="AN243" s="175">
        <v>0.030131400090620753</v>
      </c>
      <c r="AO243" s="175">
        <v>0.026850320980157757</v>
      </c>
      <c r="AP243" s="175">
        <v>0</v>
      </c>
      <c r="AQ243" s="175">
        <v>50</v>
      </c>
      <c r="AR243" s="175">
        <v>0</v>
      </c>
      <c r="AS243" s="175">
        <v>0</v>
      </c>
      <c r="AT243" s="175">
        <v>0</v>
      </c>
      <c r="AU243" s="175">
        <v>667.81</v>
      </c>
      <c r="AV243" s="175">
        <v>13.219328851020501</v>
      </c>
      <c r="AW243" s="175">
        <v>1.3730290202676965</v>
      </c>
      <c r="AX243" s="175">
        <v>457</v>
      </c>
      <c r="AY243" s="175">
        <v>2449</v>
      </c>
      <c r="AZ243" s="175">
        <v>0.18660677827684768</v>
      </c>
      <c r="BA243" s="175">
        <v>0.12542294219261318</v>
      </c>
      <c r="BB243" s="175">
        <v>0</v>
      </c>
      <c r="BC243" s="207">
        <v>2720</v>
      </c>
      <c r="BD243" s="175">
        <v>3314</v>
      </c>
      <c r="BE243" s="175">
        <v>0.8207604103802052</v>
      </c>
      <c r="BF243" s="175">
        <v>0.4118535277891121</v>
      </c>
      <c r="BG243" s="175">
        <v>0</v>
      </c>
      <c r="BH243" s="175">
        <v>0</v>
      </c>
      <c r="BI243" s="207">
        <v>0</v>
      </c>
      <c r="BJ243" s="207">
        <v>-2118.72</v>
      </c>
      <c r="BK243" s="207">
        <v>-36194.799999999996</v>
      </c>
      <c r="BL243" s="207">
        <v>-2471.84</v>
      </c>
      <c r="BM243" s="207">
        <v>0</v>
      </c>
      <c r="BN243" s="207">
        <v>0</v>
      </c>
      <c r="BO243" s="207">
        <v>-61765</v>
      </c>
      <c r="BP243" s="207">
        <v>-382397.64576085523</v>
      </c>
      <c r="BQ243" s="207">
        <v>-375719.68</v>
      </c>
      <c r="BR243" s="207">
        <v>273763.0343242958</v>
      </c>
      <c r="BS243" s="207">
        <v>887508</v>
      </c>
      <c r="BT243" s="207">
        <v>278652</v>
      </c>
      <c r="BU243" s="207">
        <v>659966.2377995836</v>
      </c>
      <c r="BV243" s="207">
        <v>34333.41140619083</v>
      </c>
      <c r="BW243" s="207">
        <v>121275.90096974367</v>
      </c>
      <c r="BX243" s="207">
        <v>306245.2735996983</v>
      </c>
      <c r="BY243" s="207">
        <v>520045.1105944065</v>
      </c>
      <c r="BZ243" s="207">
        <v>867204.306433908</v>
      </c>
      <c r="CA243" s="207">
        <v>244868.48851961794</v>
      </c>
      <c r="CB243" s="207">
        <v>419506.1033859213</v>
      </c>
      <c r="CC243" s="207">
        <v>794.52</v>
      </c>
      <c r="CD243" s="207">
        <v>38569.49867070903</v>
      </c>
      <c r="CE243" s="207">
        <v>682260.8748310262</v>
      </c>
      <c r="CF243" s="207">
        <v>-661241.1309298291</v>
      </c>
      <c r="CG243" s="207">
        <v>422159.1018360213</v>
      </c>
      <c r="CH243" s="207">
        <v>585963.2712588663</v>
      </c>
      <c r="CI243" s="207">
        <v>0</v>
      </c>
      <c r="CJ243" s="207">
        <v>6833837.56569168</v>
      </c>
      <c r="CK243" s="207">
        <v>-203894</v>
      </c>
      <c r="CL243" s="207">
        <v>309559.97000000003</v>
      </c>
      <c r="CM243" s="207">
        <v>161658.33800000002</v>
      </c>
      <c r="CN243" s="207">
        <v>147901.632</v>
      </c>
      <c r="CO243" s="207">
        <v>21922813.286390338</v>
      </c>
      <c r="CP243" s="207">
        <v>25230755.397674054</v>
      </c>
      <c r="CQ243" s="207">
        <v>8919</v>
      </c>
    </row>
    <row r="244" spans="1:95" ht="11.25">
      <c r="A244" s="207">
        <v>762</v>
      </c>
      <c r="B244" s="207" t="s">
        <v>300</v>
      </c>
      <c r="C244" s="207">
        <v>3967</v>
      </c>
      <c r="D244" s="207">
        <v>14407218.620000001</v>
      </c>
      <c r="E244" s="207">
        <v>8490107.24103669</v>
      </c>
      <c r="F244" s="207">
        <v>1668487.5190882776</v>
      </c>
      <c r="G244" s="207">
        <v>24565813.38012497</v>
      </c>
      <c r="H244" s="207">
        <v>3664.46</v>
      </c>
      <c r="I244" s="207">
        <v>14536912.82</v>
      </c>
      <c r="J244" s="207">
        <v>10028900.560124971</v>
      </c>
      <c r="K244" s="207">
        <v>276588.8705234985</v>
      </c>
      <c r="L244" s="207">
        <v>-117412.10452108167</v>
      </c>
      <c r="M244" s="207">
        <v>0</v>
      </c>
      <c r="N244" s="207">
        <v>10188077.32612739</v>
      </c>
      <c r="O244" s="207">
        <v>3183527.6789748063</v>
      </c>
      <c r="P244" s="207">
        <v>13371605.005102195</v>
      </c>
      <c r="Q244" s="207">
        <v>169</v>
      </c>
      <c r="R244" s="207">
        <v>28</v>
      </c>
      <c r="S244" s="207">
        <v>233</v>
      </c>
      <c r="T244" s="207">
        <v>107</v>
      </c>
      <c r="U244" s="207">
        <v>114</v>
      </c>
      <c r="V244" s="207">
        <v>2057</v>
      </c>
      <c r="W244" s="207">
        <v>701</v>
      </c>
      <c r="X244" s="207">
        <v>385</v>
      </c>
      <c r="Y244" s="207">
        <v>173</v>
      </c>
      <c r="Z244" s="207">
        <v>3</v>
      </c>
      <c r="AA244" s="207">
        <v>0</v>
      </c>
      <c r="AB244" s="207">
        <v>3928</v>
      </c>
      <c r="AC244" s="207">
        <v>36</v>
      </c>
      <c r="AD244" s="207">
        <v>1259</v>
      </c>
      <c r="AE244" s="481">
        <v>1.811488698354742</v>
      </c>
      <c r="AF244" s="207">
        <v>8490107.24103669</v>
      </c>
      <c r="AG244" s="207" t="e">
        <v>#DIV/0!</v>
      </c>
      <c r="AH244" s="207" t="e">
        <v>#DIV/0!</v>
      </c>
      <c r="AI244" s="207" t="e">
        <v>#DIV/0!</v>
      </c>
      <c r="AJ244" s="175">
        <v>190</v>
      </c>
      <c r="AK244" s="175">
        <v>1742</v>
      </c>
      <c r="AL244" s="175">
        <v>1.1179688144637157</v>
      </c>
      <c r="AM244" s="175">
        <v>36</v>
      </c>
      <c r="AN244" s="175">
        <v>0.009074867658179985</v>
      </c>
      <c r="AO244" s="175">
        <v>0.005793788547716988</v>
      </c>
      <c r="AP244" s="175">
        <v>0</v>
      </c>
      <c r="AQ244" s="175">
        <v>3</v>
      </c>
      <c r="AR244" s="175">
        <v>0</v>
      </c>
      <c r="AS244" s="175">
        <v>0</v>
      </c>
      <c r="AT244" s="175">
        <v>0</v>
      </c>
      <c r="AU244" s="175">
        <v>1465.92</v>
      </c>
      <c r="AV244" s="175">
        <v>2.706150403841956</v>
      </c>
      <c r="AW244" s="175">
        <v>6.707137236402177</v>
      </c>
      <c r="AX244" s="175">
        <v>162</v>
      </c>
      <c r="AY244" s="175">
        <v>1044</v>
      </c>
      <c r="AZ244" s="175">
        <v>0.15517241379310345</v>
      </c>
      <c r="BA244" s="175">
        <v>0.09398857770886895</v>
      </c>
      <c r="BB244" s="175">
        <v>0.18685</v>
      </c>
      <c r="BC244" s="207">
        <v>1234</v>
      </c>
      <c r="BD244" s="175">
        <v>1443</v>
      </c>
      <c r="BE244" s="175">
        <v>0.8551628551628552</v>
      </c>
      <c r="BF244" s="175">
        <v>0.4462559725717621</v>
      </c>
      <c r="BG244" s="175">
        <v>0</v>
      </c>
      <c r="BH244" s="175">
        <v>0</v>
      </c>
      <c r="BI244" s="207">
        <v>0</v>
      </c>
      <c r="BJ244" s="207">
        <v>-952.0799999999999</v>
      </c>
      <c r="BK244" s="207">
        <v>-16264.699999999999</v>
      </c>
      <c r="BL244" s="207">
        <v>-1110.7600000000002</v>
      </c>
      <c r="BM244" s="207">
        <v>0</v>
      </c>
      <c r="BN244" s="207">
        <v>0</v>
      </c>
      <c r="BO244" s="207">
        <v>204685</v>
      </c>
      <c r="BP244" s="207">
        <v>-130727.11177584519</v>
      </c>
      <c r="BQ244" s="207">
        <v>-168835.52000000002</v>
      </c>
      <c r="BR244" s="207">
        <v>17535.917514123023</v>
      </c>
      <c r="BS244" s="207">
        <v>462495</v>
      </c>
      <c r="BT244" s="207">
        <v>137719</v>
      </c>
      <c r="BU244" s="207">
        <v>362954.3737061537</v>
      </c>
      <c r="BV244" s="207">
        <v>19428.27120983442</v>
      </c>
      <c r="BW244" s="207">
        <v>53100.47284489389</v>
      </c>
      <c r="BX244" s="207">
        <v>169435.35904417702</v>
      </c>
      <c r="BY244" s="207">
        <v>237698.85287035187</v>
      </c>
      <c r="BZ244" s="207">
        <v>367781.046506204</v>
      </c>
      <c r="CA244" s="207">
        <v>113100.70898919602</v>
      </c>
      <c r="CB244" s="207">
        <v>198358.18347274623</v>
      </c>
      <c r="CC244" s="207">
        <v>357.03</v>
      </c>
      <c r="CD244" s="207">
        <v>2934.382422474824</v>
      </c>
      <c r="CE244" s="207">
        <v>445202.29725476354</v>
      </c>
      <c r="CF244" s="207">
        <v>-117412.10452108167</v>
      </c>
      <c r="CG244" s="207">
        <v>215762.63731816574</v>
      </c>
      <c r="CH244" s="207">
        <v>288691.5608951975</v>
      </c>
      <c r="CI244" s="207">
        <v>0</v>
      </c>
      <c r="CJ244" s="207">
        <v>3183527.6789748063</v>
      </c>
      <c r="CK244" s="207">
        <v>-279330</v>
      </c>
      <c r="CL244" s="207">
        <v>91552.31</v>
      </c>
      <c r="CM244" s="207">
        <v>70310.538</v>
      </c>
      <c r="CN244" s="207">
        <v>21241.771999999997</v>
      </c>
      <c r="CO244" s="207">
        <v>13092275.005102195</v>
      </c>
      <c r="CP244" s="207">
        <v>15023428.588635182</v>
      </c>
      <c r="CQ244" s="207">
        <v>4075</v>
      </c>
    </row>
    <row r="245" spans="1:95" ht="11.25">
      <c r="A245" s="207">
        <v>765</v>
      </c>
      <c r="B245" s="207" t="s">
        <v>301</v>
      </c>
      <c r="C245" s="207">
        <v>10389</v>
      </c>
      <c r="D245" s="207">
        <v>37763755.050000004</v>
      </c>
      <c r="E245" s="207">
        <v>14059270.477584986</v>
      </c>
      <c r="F245" s="207">
        <v>3434011.379630008</v>
      </c>
      <c r="G245" s="207">
        <v>55257036.907215</v>
      </c>
      <c r="H245" s="207">
        <v>3664.46</v>
      </c>
      <c r="I245" s="207">
        <v>38070074.94</v>
      </c>
      <c r="J245" s="207">
        <v>17186961.967215</v>
      </c>
      <c r="K245" s="207">
        <v>1327982.4079959933</v>
      </c>
      <c r="L245" s="207">
        <v>-465333.7766742427</v>
      </c>
      <c r="M245" s="207">
        <v>0</v>
      </c>
      <c r="N245" s="207">
        <v>18049610.598536752</v>
      </c>
      <c r="O245" s="207">
        <v>4936943.754670304</v>
      </c>
      <c r="P245" s="207">
        <v>22986554.353207055</v>
      </c>
      <c r="Q245" s="207">
        <v>599</v>
      </c>
      <c r="R245" s="207">
        <v>97</v>
      </c>
      <c r="S245" s="207">
        <v>678</v>
      </c>
      <c r="T245" s="207">
        <v>365</v>
      </c>
      <c r="U245" s="207">
        <v>351</v>
      </c>
      <c r="V245" s="207">
        <v>5610</v>
      </c>
      <c r="W245" s="207">
        <v>1540</v>
      </c>
      <c r="X245" s="207">
        <v>784</v>
      </c>
      <c r="Y245" s="207">
        <v>365</v>
      </c>
      <c r="Z245" s="207">
        <v>17</v>
      </c>
      <c r="AA245" s="207">
        <v>0</v>
      </c>
      <c r="AB245" s="207">
        <v>10096</v>
      </c>
      <c r="AC245" s="207">
        <v>276</v>
      </c>
      <c r="AD245" s="207">
        <v>2689</v>
      </c>
      <c r="AE245" s="481">
        <v>1.145443555731964</v>
      </c>
      <c r="AF245" s="207">
        <v>14059270.477584986</v>
      </c>
      <c r="AG245" s="207" t="e">
        <v>#DIV/0!</v>
      </c>
      <c r="AH245" s="207" t="e">
        <v>#DIV/0!</v>
      </c>
      <c r="AI245" s="207" t="e">
        <v>#DIV/0!</v>
      </c>
      <c r="AJ245" s="175">
        <v>413</v>
      </c>
      <c r="AK245" s="175">
        <v>4732</v>
      </c>
      <c r="AL245" s="175">
        <v>0.8946013610475846</v>
      </c>
      <c r="AM245" s="175">
        <v>276</v>
      </c>
      <c r="AN245" s="175">
        <v>0.026566560785446145</v>
      </c>
      <c r="AO245" s="175">
        <v>0.02328548167498315</v>
      </c>
      <c r="AP245" s="175">
        <v>0</v>
      </c>
      <c r="AQ245" s="175">
        <v>17</v>
      </c>
      <c r="AR245" s="175">
        <v>0</v>
      </c>
      <c r="AS245" s="175">
        <v>0</v>
      </c>
      <c r="AT245" s="175">
        <v>0</v>
      </c>
      <c r="AU245" s="175">
        <v>2648.8</v>
      </c>
      <c r="AV245" s="175">
        <v>3.9221534279673813</v>
      </c>
      <c r="AW245" s="175">
        <v>4.627693045225797</v>
      </c>
      <c r="AX245" s="175">
        <v>315</v>
      </c>
      <c r="AY245" s="175">
        <v>3055</v>
      </c>
      <c r="AZ245" s="175">
        <v>0.10310965630114566</v>
      </c>
      <c r="BA245" s="175">
        <v>0.041925820216911165</v>
      </c>
      <c r="BB245" s="175">
        <v>0.41915</v>
      </c>
      <c r="BC245" s="207">
        <v>4048</v>
      </c>
      <c r="BD245" s="175">
        <v>4153</v>
      </c>
      <c r="BE245" s="175">
        <v>0.9747170719961473</v>
      </c>
      <c r="BF245" s="175">
        <v>0.5658101894050542</v>
      </c>
      <c r="BG245" s="175">
        <v>0</v>
      </c>
      <c r="BH245" s="175">
        <v>0</v>
      </c>
      <c r="BI245" s="207">
        <v>0</v>
      </c>
      <c r="BJ245" s="207">
        <v>-2493.36</v>
      </c>
      <c r="BK245" s="207">
        <v>-42594.899999999994</v>
      </c>
      <c r="BL245" s="207">
        <v>-2908.92</v>
      </c>
      <c r="BM245" s="207">
        <v>0</v>
      </c>
      <c r="BN245" s="207">
        <v>0</v>
      </c>
      <c r="BO245" s="207">
        <v>96374</v>
      </c>
      <c r="BP245" s="207">
        <v>-118162.35799119622</v>
      </c>
      <c r="BQ245" s="207">
        <v>-442155.84</v>
      </c>
      <c r="BR245" s="207">
        <v>231609.68106403947</v>
      </c>
      <c r="BS245" s="207">
        <v>912888</v>
      </c>
      <c r="BT245" s="207">
        <v>295616</v>
      </c>
      <c r="BU245" s="207">
        <v>660849.7534606402</v>
      </c>
      <c r="BV245" s="207">
        <v>27703.440061382953</v>
      </c>
      <c r="BW245" s="207">
        <v>87037.29789209824</v>
      </c>
      <c r="BX245" s="207">
        <v>309699.4777221213</v>
      </c>
      <c r="BY245" s="207">
        <v>562001.1400410109</v>
      </c>
      <c r="BZ245" s="207">
        <v>866031.8469819147</v>
      </c>
      <c r="CA245" s="207">
        <v>266946.10668236495</v>
      </c>
      <c r="CB245" s="207">
        <v>472543.7359615906</v>
      </c>
      <c r="CC245" s="207">
        <v>935.01</v>
      </c>
      <c r="CD245" s="207">
        <v>-40649.81558701109</v>
      </c>
      <c r="CE245" s="207">
        <v>783879.0113169535</v>
      </c>
      <c r="CF245" s="207">
        <v>-465333.7766742427</v>
      </c>
      <c r="CG245" s="207">
        <v>485325.02583992505</v>
      </c>
      <c r="CH245" s="207">
        <v>666231.7811841047</v>
      </c>
      <c r="CI245" s="207">
        <v>0</v>
      </c>
      <c r="CJ245" s="207">
        <v>4936943.754670304</v>
      </c>
      <c r="CK245" s="207">
        <v>500451</v>
      </c>
      <c r="CL245" s="207">
        <v>180173.31</v>
      </c>
      <c r="CM245" s="207">
        <v>340468.2480000001</v>
      </c>
      <c r="CN245" s="207">
        <v>-160294.93800000008</v>
      </c>
      <c r="CO245" s="207">
        <v>23487005.353207055</v>
      </c>
      <c r="CP245" s="207">
        <v>26308023.34474807</v>
      </c>
      <c r="CQ245" s="207">
        <v>10423</v>
      </c>
    </row>
    <row r="246" spans="1:95" ht="11.25">
      <c r="A246" s="207">
        <v>768</v>
      </c>
      <c r="B246" s="207" t="s">
        <v>302</v>
      </c>
      <c r="C246" s="207">
        <v>2530</v>
      </c>
      <c r="D246" s="207">
        <v>9518946.48</v>
      </c>
      <c r="E246" s="207">
        <v>4673226.265425486</v>
      </c>
      <c r="F246" s="207">
        <v>1902733.1375898896</v>
      </c>
      <c r="G246" s="207">
        <v>16094905.883015376</v>
      </c>
      <c r="H246" s="207">
        <v>3664.46</v>
      </c>
      <c r="I246" s="207">
        <v>9271083.8</v>
      </c>
      <c r="J246" s="207">
        <v>6823822.083015375</v>
      </c>
      <c r="K246" s="207">
        <v>311736.1286755477</v>
      </c>
      <c r="L246" s="207">
        <v>131069.58477877703</v>
      </c>
      <c r="M246" s="207">
        <v>0</v>
      </c>
      <c r="N246" s="207">
        <v>7266627.7964697</v>
      </c>
      <c r="O246" s="207">
        <v>2282048.959236795</v>
      </c>
      <c r="P246" s="207">
        <v>9548676.755706495</v>
      </c>
      <c r="Q246" s="207">
        <v>73</v>
      </c>
      <c r="R246" s="207">
        <v>11</v>
      </c>
      <c r="S246" s="207">
        <v>88</v>
      </c>
      <c r="T246" s="207">
        <v>73</v>
      </c>
      <c r="U246" s="207">
        <v>65</v>
      </c>
      <c r="V246" s="207">
        <v>1235</v>
      </c>
      <c r="W246" s="207">
        <v>521</v>
      </c>
      <c r="X246" s="207">
        <v>322</v>
      </c>
      <c r="Y246" s="207">
        <v>142</v>
      </c>
      <c r="Z246" s="207">
        <v>4</v>
      </c>
      <c r="AA246" s="207">
        <v>0</v>
      </c>
      <c r="AB246" s="207">
        <v>2463</v>
      </c>
      <c r="AC246" s="207">
        <v>63</v>
      </c>
      <c r="AD246" s="207">
        <v>985</v>
      </c>
      <c r="AE246" s="481">
        <v>1.563438999616598</v>
      </c>
      <c r="AF246" s="207">
        <v>4673226.265425486</v>
      </c>
      <c r="AG246" s="207" t="e">
        <v>#DIV/0!</v>
      </c>
      <c r="AH246" s="207" t="e">
        <v>#DIV/0!</v>
      </c>
      <c r="AI246" s="207" t="e">
        <v>#DIV/0!</v>
      </c>
      <c r="AJ246" s="175">
        <v>116</v>
      </c>
      <c r="AK246" s="175">
        <v>1060</v>
      </c>
      <c r="AL246" s="175">
        <v>1.1216990778367029</v>
      </c>
      <c r="AM246" s="175">
        <v>63</v>
      </c>
      <c r="AN246" s="175">
        <v>0.024901185770750987</v>
      </c>
      <c r="AO246" s="175">
        <v>0.02162010666028799</v>
      </c>
      <c r="AP246" s="175">
        <v>0</v>
      </c>
      <c r="AQ246" s="175">
        <v>4</v>
      </c>
      <c r="AR246" s="175">
        <v>0</v>
      </c>
      <c r="AS246" s="175">
        <v>1</v>
      </c>
      <c r="AT246" s="175">
        <v>0</v>
      </c>
      <c r="AU246" s="175">
        <v>584.53</v>
      </c>
      <c r="AV246" s="175">
        <v>4.3282637332557785</v>
      </c>
      <c r="AW246" s="175">
        <v>4.193488026493271</v>
      </c>
      <c r="AX246" s="175">
        <v>106</v>
      </c>
      <c r="AY246" s="175">
        <v>585</v>
      </c>
      <c r="AZ246" s="175">
        <v>0.1811965811965812</v>
      </c>
      <c r="BA246" s="175">
        <v>0.12001274511234669</v>
      </c>
      <c r="BB246" s="175">
        <v>0.39875</v>
      </c>
      <c r="BC246" s="207">
        <v>859</v>
      </c>
      <c r="BD246" s="175">
        <v>884</v>
      </c>
      <c r="BE246" s="175">
        <v>0.9717194570135747</v>
      </c>
      <c r="BF246" s="175">
        <v>0.5628125744224816</v>
      </c>
      <c r="BG246" s="175">
        <v>0</v>
      </c>
      <c r="BH246" s="175">
        <v>0</v>
      </c>
      <c r="BI246" s="207">
        <v>0</v>
      </c>
      <c r="BJ246" s="207">
        <v>-607.1999999999999</v>
      </c>
      <c r="BK246" s="207">
        <v>-10373</v>
      </c>
      <c r="BL246" s="207">
        <v>-708.4000000000001</v>
      </c>
      <c r="BM246" s="207">
        <v>0</v>
      </c>
      <c r="BN246" s="207">
        <v>0</v>
      </c>
      <c r="BO246" s="207">
        <v>41103</v>
      </c>
      <c r="BP246" s="207">
        <v>-60005.921886881624</v>
      </c>
      <c r="BQ246" s="207">
        <v>-107676.8</v>
      </c>
      <c r="BR246" s="207">
        <v>295311.2232803684</v>
      </c>
      <c r="BS246" s="207">
        <v>318438</v>
      </c>
      <c r="BT246" s="207">
        <v>93179</v>
      </c>
      <c r="BU246" s="207">
        <v>245802.51333843436</v>
      </c>
      <c r="BV246" s="207">
        <v>13843.474499437989</v>
      </c>
      <c r="BW246" s="207">
        <v>41836.60849986856</v>
      </c>
      <c r="BX246" s="207">
        <v>124518.57130691377</v>
      </c>
      <c r="BY246" s="207">
        <v>153944.94648687728</v>
      </c>
      <c r="BZ246" s="207">
        <v>236716.76625517706</v>
      </c>
      <c r="CA246" s="207">
        <v>78152.09849280314</v>
      </c>
      <c r="CB246" s="207">
        <v>132344.63119688578</v>
      </c>
      <c r="CC246" s="207">
        <v>227.7</v>
      </c>
      <c r="CD246" s="207">
        <v>-13992.294629759628</v>
      </c>
      <c r="CE246" s="207">
        <v>466516.60666565865</v>
      </c>
      <c r="CF246" s="207">
        <v>131069.58477877703</v>
      </c>
      <c r="CG246" s="207">
        <v>141362.27801504987</v>
      </c>
      <c r="CH246" s="207">
        <v>181794.26058088118</v>
      </c>
      <c r="CI246" s="207">
        <v>0</v>
      </c>
      <c r="CJ246" s="207">
        <v>2282048.959236795</v>
      </c>
      <c r="CK246" s="207">
        <v>296949</v>
      </c>
      <c r="CL246" s="207">
        <v>186785.8</v>
      </c>
      <c r="CM246" s="207">
        <v>59989.59999999999</v>
      </c>
      <c r="CN246" s="207">
        <v>126796.2</v>
      </c>
      <c r="CO246" s="207">
        <v>9845625.755706495</v>
      </c>
      <c r="CP246" s="207">
        <v>10893795.123596206</v>
      </c>
      <c r="CQ246" s="207">
        <v>2588</v>
      </c>
    </row>
    <row r="247" spans="1:95" ht="11.25">
      <c r="A247" s="207">
        <v>777</v>
      </c>
      <c r="B247" s="207" t="s">
        <v>303</v>
      </c>
      <c r="C247" s="207">
        <v>7862</v>
      </c>
      <c r="D247" s="207">
        <v>28422075.62</v>
      </c>
      <c r="E247" s="207">
        <v>13312802.097858636</v>
      </c>
      <c r="F247" s="207">
        <v>5364679.109423654</v>
      </c>
      <c r="G247" s="207">
        <v>47099556.82728229</v>
      </c>
      <c r="H247" s="207">
        <v>3664.46</v>
      </c>
      <c r="I247" s="207">
        <v>28809984.52</v>
      </c>
      <c r="J247" s="207">
        <v>18289572.307282288</v>
      </c>
      <c r="K247" s="207">
        <v>3718463.8031035303</v>
      </c>
      <c r="L247" s="207">
        <v>10720.669568898622</v>
      </c>
      <c r="M247" s="207">
        <v>0</v>
      </c>
      <c r="N247" s="207">
        <v>22018756.779954717</v>
      </c>
      <c r="O247" s="207">
        <v>6424915.375924193</v>
      </c>
      <c r="P247" s="207">
        <v>28443672.15587891</v>
      </c>
      <c r="Q247" s="207">
        <v>287</v>
      </c>
      <c r="R247" s="207">
        <v>53</v>
      </c>
      <c r="S247" s="207">
        <v>335</v>
      </c>
      <c r="T247" s="207">
        <v>215</v>
      </c>
      <c r="U247" s="207">
        <v>225</v>
      </c>
      <c r="V247" s="207">
        <v>4003</v>
      </c>
      <c r="W247" s="207">
        <v>1536</v>
      </c>
      <c r="X247" s="207">
        <v>834</v>
      </c>
      <c r="Y247" s="207">
        <v>374</v>
      </c>
      <c r="Z247" s="207">
        <v>7</v>
      </c>
      <c r="AA247" s="207">
        <v>0</v>
      </c>
      <c r="AB247" s="207">
        <v>7684</v>
      </c>
      <c r="AC247" s="207">
        <v>171</v>
      </c>
      <c r="AD247" s="207">
        <v>2744</v>
      </c>
      <c r="AE247" s="481">
        <v>1.4332471600746888</v>
      </c>
      <c r="AF247" s="207">
        <v>13312802.097858636</v>
      </c>
      <c r="AG247" s="207" t="e">
        <v>#DIV/0!</v>
      </c>
      <c r="AH247" s="207" t="e">
        <v>#DIV/0!</v>
      </c>
      <c r="AI247" s="207" t="e">
        <v>#DIV/0!</v>
      </c>
      <c r="AJ247" s="175">
        <v>471</v>
      </c>
      <c r="AK247" s="175">
        <v>3317</v>
      </c>
      <c r="AL247" s="175">
        <v>1.4554579896685627</v>
      </c>
      <c r="AM247" s="175">
        <v>171</v>
      </c>
      <c r="AN247" s="175">
        <v>0.02175019079114729</v>
      </c>
      <c r="AO247" s="175">
        <v>0.018469111680684294</v>
      </c>
      <c r="AP247" s="175">
        <v>0</v>
      </c>
      <c r="AQ247" s="175">
        <v>7</v>
      </c>
      <c r="AR247" s="175">
        <v>0</v>
      </c>
      <c r="AS247" s="175">
        <v>0</v>
      </c>
      <c r="AT247" s="175">
        <v>0</v>
      </c>
      <c r="AU247" s="175">
        <v>5270.58</v>
      </c>
      <c r="AV247" s="175">
        <v>1.4916764378872913</v>
      </c>
      <c r="AW247" s="175">
        <v>12.167868097870025</v>
      </c>
      <c r="AX247" s="175">
        <v>257</v>
      </c>
      <c r="AY247" s="175">
        <v>2078</v>
      </c>
      <c r="AZ247" s="175">
        <v>0.12367661212704524</v>
      </c>
      <c r="BA247" s="175">
        <v>0.06249277604281075</v>
      </c>
      <c r="BB247" s="175">
        <v>1.355882</v>
      </c>
      <c r="BC247" s="207">
        <v>2395</v>
      </c>
      <c r="BD247" s="175">
        <v>2628</v>
      </c>
      <c r="BE247" s="175">
        <v>0.9113394216133942</v>
      </c>
      <c r="BF247" s="175">
        <v>0.5024325390223011</v>
      </c>
      <c r="BG247" s="175">
        <v>0</v>
      </c>
      <c r="BH247" s="175">
        <v>0</v>
      </c>
      <c r="BI247" s="207">
        <v>0</v>
      </c>
      <c r="BJ247" s="207">
        <v>-1886.8799999999999</v>
      </c>
      <c r="BK247" s="207">
        <v>-32234.199999999997</v>
      </c>
      <c r="BL247" s="207">
        <v>-2201.36</v>
      </c>
      <c r="BM247" s="207">
        <v>0</v>
      </c>
      <c r="BN247" s="207">
        <v>0</v>
      </c>
      <c r="BO247" s="207">
        <v>441756</v>
      </c>
      <c r="BP247" s="207">
        <v>-148265.10308715992</v>
      </c>
      <c r="BQ247" s="207">
        <v>-334606.72000000003</v>
      </c>
      <c r="BR247" s="207">
        <v>227788.47878620028</v>
      </c>
      <c r="BS247" s="207">
        <v>806106</v>
      </c>
      <c r="BT247" s="207">
        <v>248854</v>
      </c>
      <c r="BU247" s="207">
        <v>595489.9535003655</v>
      </c>
      <c r="BV247" s="207">
        <v>36314.84846337842</v>
      </c>
      <c r="BW247" s="207">
        <v>101867.12397049421</v>
      </c>
      <c r="BX247" s="207">
        <v>342837.98978718405</v>
      </c>
      <c r="BY247" s="207">
        <v>442690.38575004897</v>
      </c>
      <c r="BZ247" s="207">
        <v>683870.585123963</v>
      </c>
      <c r="CA247" s="207">
        <v>216263.91625462237</v>
      </c>
      <c r="CB247" s="207">
        <v>378861.3041038285</v>
      </c>
      <c r="CC247" s="207">
        <v>707.5799999999999</v>
      </c>
      <c r="CD247" s="207">
        <v>-76791.2396861595</v>
      </c>
      <c r="CE247" s="207">
        <v>1014921.7126560584</v>
      </c>
      <c r="CF247" s="207">
        <v>10720.669568898622</v>
      </c>
      <c r="CG247" s="207">
        <v>413677.51355601754</v>
      </c>
      <c r="CH247" s="207">
        <v>510364.9246767241</v>
      </c>
      <c r="CI247" s="207">
        <v>0</v>
      </c>
      <c r="CJ247" s="207">
        <v>6424915.375924193</v>
      </c>
      <c r="CK247" s="207">
        <v>-445407</v>
      </c>
      <c r="CL247" s="207">
        <v>188285.54000000004</v>
      </c>
      <c r="CM247" s="207">
        <v>53240.770000000004</v>
      </c>
      <c r="CN247" s="207">
        <v>135044.77000000002</v>
      </c>
      <c r="CO247" s="207">
        <v>27998265.15587891</v>
      </c>
      <c r="CP247" s="207">
        <v>30322252.024216212</v>
      </c>
      <c r="CQ247" s="207">
        <v>8051</v>
      </c>
    </row>
    <row r="248" spans="1:95" ht="11.25">
      <c r="A248" s="207">
        <v>778</v>
      </c>
      <c r="B248" s="207" t="s">
        <v>304</v>
      </c>
      <c r="C248" s="207">
        <v>7145</v>
      </c>
      <c r="D248" s="207">
        <v>26771859.41</v>
      </c>
      <c r="E248" s="207">
        <v>14696134.14136671</v>
      </c>
      <c r="F248" s="207">
        <v>1673813.929180172</v>
      </c>
      <c r="G248" s="207">
        <v>43141807.480546884</v>
      </c>
      <c r="H248" s="207">
        <v>3664.46</v>
      </c>
      <c r="I248" s="207">
        <v>26182566.7</v>
      </c>
      <c r="J248" s="207">
        <v>16959240.780546885</v>
      </c>
      <c r="K248" s="207">
        <v>321545.87735458836</v>
      </c>
      <c r="L248" s="207">
        <v>-446482.28862588876</v>
      </c>
      <c r="M248" s="207">
        <v>0</v>
      </c>
      <c r="N248" s="207">
        <v>16834304.369275585</v>
      </c>
      <c r="O248" s="207">
        <v>5487373.395787631</v>
      </c>
      <c r="P248" s="207">
        <v>22321677.765063215</v>
      </c>
      <c r="Q248" s="207">
        <v>365</v>
      </c>
      <c r="R248" s="207">
        <v>64</v>
      </c>
      <c r="S248" s="207">
        <v>411</v>
      </c>
      <c r="T248" s="207">
        <v>225</v>
      </c>
      <c r="U248" s="207">
        <v>207</v>
      </c>
      <c r="V248" s="207">
        <v>3675</v>
      </c>
      <c r="W248" s="207">
        <v>1189</v>
      </c>
      <c r="X248" s="207">
        <v>699</v>
      </c>
      <c r="Y248" s="207">
        <v>310</v>
      </c>
      <c r="Z248" s="207">
        <v>3</v>
      </c>
      <c r="AA248" s="207">
        <v>0</v>
      </c>
      <c r="AB248" s="207">
        <v>6973</v>
      </c>
      <c r="AC248" s="207">
        <v>169</v>
      </c>
      <c r="AD248" s="207">
        <v>2198</v>
      </c>
      <c r="AE248" s="481">
        <v>1.7409469103839836</v>
      </c>
      <c r="AF248" s="207">
        <v>14696134.14136671</v>
      </c>
      <c r="AG248" s="207" t="e">
        <v>#DIV/0!</v>
      </c>
      <c r="AH248" s="207" t="e">
        <v>#DIV/0!</v>
      </c>
      <c r="AI248" s="207" t="e">
        <v>#DIV/0!</v>
      </c>
      <c r="AJ248" s="175">
        <v>273</v>
      </c>
      <c r="AK248" s="175">
        <v>2949</v>
      </c>
      <c r="AL248" s="175">
        <v>0.9488817926134663</v>
      </c>
      <c r="AM248" s="175">
        <v>169</v>
      </c>
      <c r="AN248" s="175">
        <v>0.023652904128761372</v>
      </c>
      <c r="AO248" s="175">
        <v>0.020371825018298376</v>
      </c>
      <c r="AP248" s="175">
        <v>0</v>
      </c>
      <c r="AQ248" s="175">
        <v>3</v>
      </c>
      <c r="AR248" s="175">
        <v>0</v>
      </c>
      <c r="AS248" s="175">
        <v>0</v>
      </c>
      <c r="AT248" s="175">
        <v>0</v>
      </c>
      <c r="AU248" s="175">
        <v>713.54</v>
      </c>
      <c r="AV248" s="175">
        <v>10.01345404602405</v>
      </c>
      <c r="AW248" s="175">
        <v>1.8126135155251482</v>
      </c>
      <c r="AX248" s="175">
        <v>293</v>
      </c>
      <c r="AY248" s="175">
        <v>2018</v>
      </c>
      <c r="AZ248" s="175">
        <v>0.14519326065411298</v>
      </c>
      <c r="BA248" s="175">
        <v>0.08400942456987848</v>
      </c>
      <c r="BB248" s="175">
        <v>0.0468</v>
      </c>
      <c r="BC248" s="207">
        <v>2433</v>
      </c>
      <c r="BD248" s="175">
        <v>2588</v>
      </c>
      <c r="BE248" s="175">
        <v>0.9401081916537867</v>
      </c>
      <c r="BF248" s="175">
        <v>0.5312013090626936</v>
      </c>
      <c r="BG248" s="175">
        <v>0</v>
      </c>
      <c r="BH248" s="175">
        <v>0</v>
      </c>
      <c r="BI248" s="207">
        <v>0</v>
      </c>
      <c r="BJ248" s="207">
        <v>-1714.8</v>
      </c>
      <c r="BK248" s="207">
        <v>-29294.499999999996</v>
      </c>
      <c r="BL248" s="207">
        <v>-2000.6000000000001</v>
      </c>
      <c r="BM248" s="207">
        <v>0</v>
      </c>
      <c r="BN248" s="207">
        <v>0</v>
      </c>
      <c r="BO248" s="207">
        <v>162668</v>
      </c>
      <c r="BP248" s="207">
        <v>-298831.2599208642</v>
      </c>
      <c r="BQ248" s="207">
        <v>-304091.2</v>
      </c>
      <c r="BR248" s="207">
        <v>90136.78364054114</v>
      </c>
      <c r="BS248" s="207">
        <v>704270</v>
      </c>
      <c r="BT248" s="207">
        <v>209751</v>
      </c>
      <c r="BU248" s="207">
        <v>485287.2878394426</v>
      </c>
      <c r="BV248" s="207">
        <v>25695.22304491622</v>
      </c>
      <c r="BW248" s="207">
        <v>43720.77733674577</v>
      </c>
      <c r="BX248" s="207">
        <v>273033.9694706407</v>
      </c>
      <c r="BY248" s="207">
        <v>378602.8976657321</v>
      </c>
      <c r="BZ248" s="207">
        <v>648137.3381879628</v>
      </c>
      <c r="CA248" s="207">
        <v>173244.28450334622</v>
      </c>
      <c r="CB248" s="207">
        <v>334603.79920547735</v>
      </c>
      <c r="CC248" s="207">
        <v>643.05</v>
      </c>
      <c r="CD248" s="207">
        <v>-9212.686428081506</v>
      </c>
      <c r="CE248" s="207">
        <v>630225.1212949753</v>
      </c>
      <c r="CF248" s="207">
        <v>-446482.28862588876</v>
      </c>
      <c r="CG248" s="207">
        <v>378916.42408251547</v>
      </c>
      <c r="CH248" s="207">
        <v>450502.65773072914</v>
      </c>
      <c r="CI248" s="207">
        <v>0</v>
      </c>
      <c r="CJ248" s="207">
        <v>5487373.395787631</v>
      </c>
      <c r="CK248" s="207">
        <v>-147419</v>
      </c>
      <c r="CL248" s="207">
        <v>293131</v>
      </c>
      <c r="CM248" s="207">
        <v>136285.464</v>
      </c>
      <c r="CN248" s="207">
        <v>156845.536</v>
      </c>
      <c r="CO248" s="207">
        <v>22174258.765063215</v>
      </c>
      <c r="CP248" s="207">
        <v>24831040.800247893</v>
      </c>
      <c r="CQ248" s="207">
        <v>7266</v>
      </c>
    </row>
    <row r="249" spans="1:95" ht="11.25">
      <c r="A249" s="207">
        <v>781</v>
      </c>
      <c r="B249" s="207" t="s">
        <v>305</v>
      </c>
      <c r="C249" s="207">
        <v>3753</v>
      </c>
      <c r="D249" s="207">
        <v>14514625.58</v>
      </c>
      <c r="E249" s="207">
        <v>6447711.679382513</v>
      </c>
      <c r="F249" s="207">
        <v>1110268.8360154177</v>
      </c>
      <c r="G249" s="207">
        <v>22072606.09539793</v>
      </c>
      <c r="H249" s="207">
        <v>3664.46</v>
      </c>
      <c r="I249" s="207">
        <v>13752718.38</v>
      </c>
      <c r="J249" s="207">
        <v>8319887.71539793</v>
      </c>
      <c r="K249" s="207">
        <v>493423.52130910446</v>
      </c>
      <c r="L249" s="207">
        <v>-222480.5896624964</v>
      </c>
      <c r="M249" s="207">
        <v>0</v>
      </c>
      <c r="N249" s="207">
        <v>8590830.647044538</v>
      </c>
      <c r="O249" s="207">
        <v>3404859.98420281</v>
      </c>
      <c r="P249" s="207">
        <v>11995690.631247347</v>
      </c>
      <c r="Q249" s="207">
        <v>121</v>
      </c>
      <c r="R249" s="207">
        <v>23</v>
      </c>
      <c r="S249" s="207">
        <v>138</v>
      </c>
      <c r="T249" s="207">
        <v>99</v>
      </c>
      <c r="U249" s="207">
        <v>96</v>
      </c>
      <c r="V249" s="207">
        <v>1753</v>
      </c>
      <c r="W249" s="207">
        <v>787</v>
      </c>
      <c r="X249" s="207">
        <v>520</v>
      </c>
      <c r="Y249" s="207">
        <v>216</v>
      </c>
      <c r="Z249" s="207">
        <v>6</v>
      </c>
      <c r="AA249" s="207">
        <v>1</v>
      </c>
      <c r="AB249" s="207">
        <v>3685</v>
      </c>
      <c r="AC249" s="207">
        <v>61</v>
      </c>
      <c r="AD249" s="207">
        <v>1523</v>
      </c>
      <c r="AE249" s="481">
        <v>1.4541583383753618</v>
      </c>
      <c r="AF249" s="207">
        <v>6447711.679382513</v>
      </c>
      <c r="AG249" s="207" t="e">
        <v>#DIV/0!</v>
      </c>
      <c r="AH249" s="207" t="e">
        <v>#DIV/0!</v>
      </c>
      <c r="AI249" s="207" t="e">
        <v>#DIV/0!</v>
      </c>
      <c r="AJ249" s="175">
        <v>140</v>
      </c>
      <c r="AK249" s="175">
        <v>1483</v>
      </c>
      <c r="AL249" s="175">
        <v>0.9676340081322033</v>
      </c>
      <c r="AM249" s="175">
        <v>61</v>
      </c>
      <c r="AN249" s="175">
        <v>0.016253663735678124</v>
      </c>
      <c r="AO249" s="175">
        <v>0.012972584625215128</v>
      </c>
      <c r="AP249" s="175">
        <v>0</v>
      </c>
      <c r="AQ249" s="175">
        <v>6</v>
      </c>
      <c r="AR249" s="175">
        <v>1</v>
      </c>
      <c r="AS249" s="175">
        <v>0</v>
      </c>
      <c r="AT249" s="175">
        <v>0</v>
      </c>
      <c r="AU249" s="175">
        <v>666.3</v>
      </c>
      <c r="AV249" s="175">
        <v>5.632597928860874</v>
      </c>
      <c r="AW249" s="175">
        <v>3.222406848518637</v>
      </c>
      <c r="AX249" s="175">
        <v>166</v>
      </c>
      <c r="AY249" s="175">
        <v>874</v>
      </c>
      <c r="AZ249" s="175">
        <v>0.18993135011441648</v>
      </c>
      <c r="BA249" s="175">
        <v>0.12874751403018198</v>
      </c>
      <c r="BB249" s="175">
        <v>0.491066</v>
      </c>
      <c r="BC249" s="207">
        <v>1025</v>
      </c>
      <c r="BD249" s="175">
        <v>1292</v>
      </c>
      <c r="BE249" s="175">
        <v>0.7933436532507739</v>
      </c>
      <c r="BF249" s="175">
        <v>0.38443677065968085</v>
      </c>
      <c r="BG249" s="175">
        <v>0</v>
      </c>
      <c r="BH249" s="175">
        <v>1</v>
      </c>
      <c r="BI249" s="207">
        <v>0</v>
      </c>
      <c r="BJ249" s="207">
        <v>-900.7199999999999</v>
      </c>
      <c r="BK249" s="207">
        <v>-15387.3</v>
      </c>
      <c r="BL249" s="207">
        <v>-1050.8400000000001</v>
      </c>
      <c r="BM249" s="207">
        <v>0</v>
      </c>
      <c r="BN249" s="207">
        <v>0</v>
      </c>
      <c r="BO249" s="207">
        <v>-24046</v>
      </c>
      <c r="BP249" s="207">
        <v>-122903.84706873006</v>
      </c>
      <c r="BQ249" s="207">
        <v>-159727.68000000002</v>
      </c>
      <c r="BR249" s="207">
        <v>145472.55402242765</v>
      </c>
      <c r="BS249" s="207">
        <v>463075</v>
      </c>
      <c r="BT249" s="207">
        <v>135088</v>
      </c>
      <c r="BU249" s="207">
        <v>329559.86847875454</v>
      </c>
      <c r="BV249" s="207">
        <v>18974.214570919707</v>
      </c>
      <c r="BW249" s="207">
        <v>37232.07945562535</v>
      </c>
      <c r="BX249" s="207">
        <v>167524.88728627606</v>
      </c>
      <c r="BY249" s="207">
        <v>215960.8521776721</v>
      </c>
      <c r="BZ249" s="207">
        <v>346788.1419258695</v>
      </c>
      <c r="CA249" s="207">
        <v>111657.66664430997</v>
      </c>
      <c r="CB249" s="207">
        <v>184995.47928799695</v>
      </c>
      <c r="CC249" s="207">
        <v>337.77</v>
      </c>
      <c r="CD249" s="207">
        <v>-10332.11287490934</v>
      </c>
      <c r="CE249" s="207">
        <v>309012.3674062336</v>
      </c>
      <c r="CF249" s="207">
        <v>-222480.5896624964</v>
      </c>
      <c r="CG249" s="207">
        <v>193864.6862587153</v>
      </c>
      <c r="CH249" s="207">
        <v>257187.4563133863</v>
      </c>
      <c r="CI249" s="207">
        <v>0</v>
      </c>
      <c r="CJ249" s="207">
        <v>3404859.98420281</v>
      </c>
      <c r="CK249" s="207">
        <v>-413565</v>
      </c>
      <c r="CL249" s="207">
        <v>96801.4</v>
      </c>
      <c r="CM249" s="207">
        <v>155550.30600000004</v>
      </c>
      <c r="CN249" s="207">
        <v>-58748.906000000046</v>
      </c>
      <c r="CO249" s="207">
        <v>11582125.631247347</v>
      </c>
      <c r="CP249" s="207">
        <v>13160552.638272751</v>
      </c>
      <c r="CQ249" s="207">
        <v>3859</v>
      </c>
    </row>
    <row r="250" spans="1:95" ht="11.25">
      <c r="A250" s="207">
        <v>783</v>
      </c>
      <c r="B250" s="207" t="s">
        <v>306</v>
      </c>
      <c r="C250" s="207">
        <v>6811</v>
      </c>
      <c r="D250" s="207">
        <v>24744030.679999996</v>
      </c>
      <c r="E250" s="207">
        <v>7828339.5331648905</v>
      </c>
      <c r="F250" s="207">
        <v>1102477.2539701327</v>
      </c>
      <c r="G250" s="207">
        <v>33674847.46713502</v>
      </c>
      <c r="H250" s="207">
        <v>3664.46</v>
      </c>
      <c r="I250" s="207">
        <v>24958637.06</v>
      </c>
      <c r="J250" s="207">
        <v>8716210.407135021</v>
      </c>
      <c r="K250" s="207">
        <v>340170.77027463005</v>
      </c>
      <c r="L250" s="207">
        <v>-750405.2616160297</v>
      </c>
      <c r="M250" s="207">
        <v>0</v>
      </c>
      <c r="N250" s="207">
        <v>8305975.915793621</v>
      </c>
      <c r="O250" s="207">
        <v>2201427.074691988</v>
      </c>
      <c r="P250" s="207">
        <v>10507402.990485609</v>
      </c>
      <c r="Q250" s="207">
        <v>319</v>
      </c>
      <c r="R250" s="207">
        <v>59</v>
      </c>
      <c r="S250" s="207">
        <v>399</v>
      </c>
      <c r="T250" s="207">
        <v>207</v>
      </c>
      <c r="U250" s="207">
        <v>202</v>
      </c>
      <c r="V250" s="207">
        <v>3588</v>
      </c>
      <c r="W250" s="207">
        <v>1142</v>
      </c>
      <c r="X250" s="207">
        <v>615</v>
      </c>
      <c r="Y250" s="207">
        <v>280</v>
      </c>
      <c r="Z250" s="207">
        <v>12</v>
      </c>
      <c r="AA250" s="207">
        <v>0</v>
      </c>
      <c r="AB250" s="207">
        <v>6670</v>
      </c>
      <c r="AC250" s="207">
        <v>129</v>
      </c>
      <c r="AD250" s="207">
        <v>2037</v>
      </c>
      <c r="AE250" s="481">
        <v>0.9728444975040084</v>
      </c>
      <c r="AF250" s="207">
        <v>7828339.5331648905</v>
      </c>
      <c r="AG250" s="207" t="e">
        <v>#DIV/0!</v>
      </c>
      <c r="AH250" s="207" t="e">
        <v>#DIV/0!</v>
      </c>
      <c r="AI250" s="207" t="e">
        <v>#DIV/0!</v>
      </c>
      <c r="AJ250" s="175">
        <v>174</v>
      </c>
      <c r="AK250" s="175">
        <v>3131</v>
      </c>
      <c r="AL250" s="175">
        <v>0.5696268073332345</v>
      </c>
      <c r="AM250" s="175">
        <v>129</v>
      </c>
      <c r="AN250" s="175">
        <v>0.018939950080751725</v>
      </c>
      <c r="AO250" s="175">
        <v>0.01565887097028873</v>
      </c>
      <c r="AP250" s="175">
        <v>0</v>
      </c>
      <c r="AQ250" s="175">
        <v>12</v>
      </c>
      <c r="AR250" s="175">
        <v>0</v>
      </c>
      <c r="AS250" s="175">
        <v>0</v>
      </c>
      <c r="AT250" s="175">
        <v>0</v>
      </c>
      <c r="AU250" s="175">
        <v>406.75</v>
      </c>
      <c r="AV250" s="175">
        <v>16.744929317762754</v>
      </c>
      <c r="AW250" s="175">
        <v>1.0839414007952477</v>
      </c>
      <c r="AX250" s="175">
        <v>286</v>
      </c>
      <c r="AY250" s="175">
        <v>1939</v>
      </c>
      <c r="AZ250" s="175">
        <v>0.147498710675606</v>
      </c>
      <c r="BA250" s="175">
        <v>0.0863148745913715</v>
      </c>
      <c r="BB250" s="175">
        <v>0</v>
      </c>
      <c r="BC250" s="207">
        <v>3304</v>
      </c>
      <c r="BD250" s="175">
        <v>2825</v>
      </c>
      <c r="BE250" s="175">
        <v>1.1695575221238939</v>
      </c>
      <c r="BF250" s="175">
        <v>0.7606506395328008</v>
      </c>
      <c r="BG250" s="175">
        <v>0</v>
      </c>
      <c r="BH250" s="175">
        <v>0</v>
      </c>
      <c r="BI250" s="207">
        <v>0</v>
      </c>
      <c r="BJ250" s="207">
        <v>-1634.6399999999999</v>
      </c>
      <c r="BK250" s="207">
        <v>-27925.1</v>
      </c>
      <c r="BL250" s="207">
        <v>-1907.0800000000002</v>
      </c>
      <c r="BM250" s="207">
        <v>0</v>
      </c>
      <c r="BN250" s="207">
        <v>0</v>
      </c>
      <c r="BO250" s="207">
        <v>47465</v>
      </c>
      <c r="BP250" s="207">
        <v>-128012.92086583207</v>
      </c>
      <c r="BQ250" s="207">
        <v>-289876.16000000003</v>
      </c>
      <c r="BR250" s="207">
        <v>-178525.3878174806</v>
      </c>
      <c r="BS250" s="207">
        <v>571140</v>
      </c>
      <c r="BT250" s="207">
        <v>198708</v>
      </c>
      <c r="BU250" s="207">
        <v>465544.3272727316</v>
      </c>
      <c r="BV250" s="207">
        <v>22979.34661993128</v>
      </c>
      <c r="BW250" s="207">
        <v>42267.12753764469</v>
      </c>
      <c r="BX250" s="207">
        <v>197526.7378012822</v>
      </c>
      <c r="BY250" s="207">
        <v>364442.3635822092</v>
      </c>
      <c r="BZ250" s="207">
        <v>669948.5572310707</v>
      </c>
      <c r="CA250" s="207">
        <v>180015.7879197041</v>
      </c>
      <c r="CB250" s="207">
        <v>299742.67337186687</v>
      </c>
      <c r="CC250" s="207">
        <v>612.99</v>
      </c>
      <c r="CD250" s="207">
        <v>-52941.95392537101</v>
      </c>
      <c r="CE250" s="207">
        <v>119121.22924980227</v>
      </c>
      <c r="CF250" s="207">
        <v>-750405.2616160297</v>
      </c>
      <c r="CG250" s="207">
        <v>295767.6909926539</v>
      </c>
      <c r="CH250" s="207">
        <v>411788.09619735566</v>
      </c>
      <c r="CI250" s="207">
        <v>0</v>
      </c>
      <c r="CJ250" s="207">
        <v>2201427.074691988</v>
      </c>
      <c r="CK250" s="207">
        <v>-461931</v>
      </c>
      <c r="CL250" s="207">
        <v>24541.2</v>
      </c>
      <c r="CM250" s="207">
        <v>219166.55000000002</v>
      </c>
      <c r="CN250" s="207">
        <v>-194625.35</v>
      </c>
      <c r="CO250" s="207">
        <v>10045471.990485609</v>
      </c>
      <c r="CP250" s="207">
        <v>11500720.310976816</v>
      </c>
      <c r="CQ250" s="207">
        <v>6903</v>
      </c>
    </row>
    <row r="251" spans="1:95" ht="11.25">
      <c r="A251" s="207">
        <v>831</v>
      </c>
      <c r="B251" s="207" t="s">
        <v>307</v>
      </c>
      <c r="C251" s="207">
        <v>4715</v>
      </c>
      <c r="D251" s="207">
        <v>16632598.88</v>
      </c>
      <c r="E251" s="207">
        <v>4347197.293650398</v>
      </c>
      <c r="F251" s="207">
        <v>1625685.0694713225</v>
      </c>
      <c r="G251" s="207">
        <v>22605481.24312172</v>
      </c>
      <c r="H251" s="207">
        <v>3664.46</v>
      </c>
      <c r="I251" s="207">
        <v>17277928.9</v>
      </c>
      <c r="J251" s="207">
        <v>5327552.343121722</v>
      </c>
      <c r="K251" s="207">
        <v>0</v>
      </c>
      <c r="L251" s="207">
        <v>-407493.1375005036</v>
      </c>
      <c r="M251" s="207">
        <v>0</v>
      </c>
      <c r="N251" s="207">
        <v>4920059.205621218</v>
      </c>
      <c r="O251" s="207">
        <v>811112.0200427742</v>
      </c>
      <c r="P251" s="207">
        <v>5731171.225663993</v>
      </c>
      <c r="Q251" s="207">
        <v>254</v>
      </c>
      <c r="R251" s="207">
        <v>45</v>
      </c>
      <c r="S251" s="207">
        <v>346</v>
      </c>
      <c r="T251" s="207">
        <v>189</v>
      </c>
      <c r="U251" s="207">
        <v>169</v>
      </c>
      <c r="V251" s="207">
        <v>2562</v>
      </c>
      <c r="W251" s="207">
        <v>683</v>
      </c>
      <c r="X251" s="207">
        <v>350</v>
      </c>
      <c r="Y251" s="207">
        <v>117</v>
      </c>
      <c r="Z251" s="207">
        <v>9</v>
      </c>
      <c r="AA251" s="207">
        <v>0</v>
      </c>
      <c r="AB251" s="207">
        <v>4518</v>
      </c>
      <c r="AC251" s="207">
        <v>188</v>
      </c>
      <c r="AD251" s="207">
        <v>1150</v>
      </c>
      <c r="AE251" s="481">
        <v>0.7803910985149498</v>
      </c>
      <c r="AF251" s="207">
        <v>4347197.293650398</v>
      </c>
      <c r="AG251" s="207" t="e">
        <v>#DIV/0!</v>
      </c>
      <c r="AH251" s="207" t="e">
        <v>#DIV/0!</v>
      </c>
      <c r="AI251" s="207" t="e">
        <v>#DIV/0!</v>
      </c>
      <c r="AJ251" s="175">
        <v>183</v>
      </c>
      <c r="AK251" s="175">
        <v>2259</v>
      </c>
      <c r="AL251" s="175">
        <v>0.8303459995984017</v>
      </c>
      <c r="AM251" s="175">
        <v>188</v>
      </c>
      <c r="AN251" s="175">
        <v>0.03987274655355249</v>
      </c>
      <c r="AO251" s="175">
        <v>0.03659166744308949</v>
      </c>
      <c r="AP251" s="175">
        <v>0</v>
      </c>
      <c r="AQ251" s="175">
        <v>9</v>
      </c>
      <c r="AR251" s="175">
        <v>0</v>
      </c>
      <c r="AS251" s="175">
        <v>3</v>
      </c>
      <c r="AT251" s="175">
        <v>2136</v>
      </c>
      <c r="AU251" s="175">
        <v>344.84</v>
      </c>
      <c r="AV251" s="175">
        <v>13.673007771720219</v>
      </c>
      <c r="AW251" s="175">
        <v>1.3274710615212084</v>
      </c>
      <c r="AX251" s="175">
        <v>139</v>
      </c>
      <c r="AY251" s="175">
        <v>1469</v>
      </c>
      <c r="AZ251" s="175">
        <v>0.09462219196732471</v>
      </c>
      <c r="BA251" s="175">
        <v>0.03343835588309022</v>
      </c>
      <c r="BB251" s="175">
        <v>0</v>
      </c>
      <c r="BC251" s="207">
        <v>808</v>
      </c>
      <c r="BD251" s="175">
        <v>1976</v>
      </c>
      <c r="BE251" s="175">
        <v>0.4089068825910931</v>
      </c>
      <c r="BF251" s="175">
        <v>0</v>
      </c>
      <c r="BG251" s="175">
        <v>0</v>
      </c>
      <c r="BH251" s="175">
        <v>0</v>
      </c>
      <c r="BI251" s="207">
        <v>0</v>
      </c>
      <c r="BJ251" s="207">
        <v>-1131.6</v>
      </c>
      <c r="BK251" s="207">
        <v>-19331.5</v>
      </c>
      <c r="BL251" s="207">
        <v>-1320.2</v>
      </c>
      <c r="BM251" s="207">
        <v>0</v>
      </c>
      <c r="BN251" s="207">
        <v>0</v>
      </c>
      <c r="BO251" s="207">
        <v>-95390</v>
      </c>
      <c r="BP251" s="207">
        <v>-65217.91760397679</v>
      </c>
      <c r="BQ251" s="207">
        <v>-200670.40000000002</v>
      </c>
      <c r="BR251" s="207">
        <v>49043.06950616464</v>
      </c>
      <c r="BS251" s="207">
        <v>361432</v>
      </c>
      <c r="BT251" s="207">
        <v>117092</v>
      </c>
      <c r="BU251" s="207">
        <v>229111.4160647514</v>
      </c>
      <c r="BV251" s="207">
        <v>6495.438585251213</v>
      </c>
      <c r="BW251" s="207">
        <v>6379.841051341545</v>
      </c>
      <c r="BX251" s="207">
        <v>104989.19278325992</v>
      </c>
      <c r="BY251" s="207">
        <v>209440.9620708233</v>
      </c>
      <c r="BZ251" s="207">
        <v>352663.03044384293</v>
      </c>
      <c r="CA251" s="207">
        <v>97291.30030495934</v>
      </c>
      <c r="CB251" s="207">
        <v>174429.34441103344</v>
      </c>
      <c r="CC251" s="207">
        <v>424.34999999999997</v>
      </c>
      <c r="CD251" s="207">
        <v>13756.608089920519</v>
      </c>
      <c r="CE251" s="207">
        <v>171046.8301034732</v>
      </c>
      <c r="CF251" s="207">
        <v>-407493.1375005036</v>
      </c>
      <c r="CG251" s="207">
        <v>198544.95250738805</v>
      </c>
      <c r="CH251" s="207">
        <v>239217.97595149072</v>
      </c>
      <c r="CI251" s="207">
        <v>0</v>
      </c>
      <c r="CJ251" s="207">
        <v>811112.0200427742</v>
      </c>
      <c r="CK251" s="207">
        <v>-888738</v>
      </c>
      <c r="CL251" s="207">
        <v>20451</v>
      </c>
      <c r="CM251" s="207">
        <v>326466.13</v>
      </c>
      <c r="CN251" s="207">
        <v>-306015.13</v>
      </c>
      <c r="CO251" s="207">
        <v>4842433.225663993</v>
      </c>
      <c r="CP251" s="207">
        <v>5836626.359398306</v>
      </c>
      <c r="CQ251" s="207">
        <v>4774</v>
      </c>
    </row>
    <row r="252" spans="1:95" ht="11.25">
      <c r="A252" s="207">
        <v>832</v>
      </c>
      <c r="B252" s="207" t="s">
        <v>308</v>
      </c>
      <c r="C252" s="207">
        <v>4024</v>
      </c>
      <c r="D252" s="207">
        <v>14712355.579999998</v>
      </c>
      <c r="E252" s="207">
        <v>7100558.19282173</v>
      </c>
      <c r="F252" s="207">
        <v>2490477.9682373893</v>
      </c>
      <c r="G252" s="207">
        <v>24303391.741059117</v>
      </c>
      <c r="H252" s="207">
        <v>3664.46</v>
      </c>
      <c r="I252" s="207">
        <v>14745787.040000001</v>
      </c>
      <c r="J252" s="207">
        <v>9557604.701059116</v>
      </c>
      <c r="K252" s="207">
        <v>4359137.464457181</v>
      </c>
      <c r="L252" s="207">
        <v>-345199.6781322968</v>
      </c>
      <c r="M252" s="207">
        <v>0</v>
      </c>
      <c r="N252" s="207">
        <v>13571542.487384</v>
      </c>
      <c r="O252" s="207">
        <v>3774593.1459386535</v>
      </c>
      <c r="P252" s="207">
        <v>17346135.633322656</v>
      </c>
      <c r="Q252" s="207">
        <v>182</v>
      </c>
      <c r="R252" s="207">
        <v>39</v>
      </c>
      <c r="S252" s="207">
        <v>282</v>
      </c>
      <c r="T252" s="207">
        <v>143</v>
      </c>
      <c r="U252" s="207">
        <v>145</v>
      </c>
      <c r="V252" s="207">
        <v>2077</v>
      </c>
      <c r="W252" s="207">
        <v>627</v>
      </c>
      <c r="X252" s="207">
        <v>398</v>
      </c>
      <c r="Y252" s="207">
        <v>131</v>
      </c>
      <c r="Z252" s="207">
        <v>1</v>
      </c>
      <c r="AA252" s="207">
        <v>0</v>
      </c>
      <c r="AB252" s="207">
        <v>3963</v>
      </c>
      <c r="AC252" s="207">
        <v>60</v>
      </c>
      <c r="AD252" s="207">
        <v>1156</v>
      </c>
      <c r="AE252" s="481">
        <v>1.4935479578455733</v>
      </c>
      <c r="AF252" s="207">
        <v>7100558.19282173</v>
      </c>
      <c r="AG252" s="207" t="e">
        <v>#DIV/0!</v>
      </c>
      <c r="AH252" s="207" t="e">
        <v>#DIV/0!</v>
      </c>
      <c r="AI252" s="207" t="e">
        <v>#DIV/0!</v>
      </c>
      <c r="AJ252" s="175">
        <v>227</v>
      </c>
      <c r="AK252" s="175">
        <v>1687</v>
      </c>
      <c r="AL252" s="175">
        <v>1.3792246597156113</v>
      </c>
      <c r="AM252" s="175">
        <v>60</v>
      </c>
      <c r="AN252" s="175">
        <v>0.014910536779324055</v>
      </c>
      <c r="AO252" s="175">
        <v>0.01162945766886106</v>
      </c>
      <c r="AP252" s="175">
        <v>0</v>
      </c>
      <c r="AQ252" s="175">
        <v>1</v>
      </c>
      <c r="AR252" s="175">
        <v>0</v>
      </c>
      <c r="AS252" s="175">
        <v>0</v>
      </c>
      <c r="AT252" s="175">
        <v>0</v>
      </c>
      <c r="AU252" s="175">
        <v>2437.85</v>
      </c>
      <c r="AV252" s="175">
        <v>1.6506347806468815</v>
      </c>
      <c r="AW252" s="175">
        <v>10.996086083803473</v>
      </c>
      <c r="AX252" s="175">
        <v>129</v>
      </c>
      <c r="AY252" s="175">
        <v>966</v>
      </c>
      <c r="AZ252" s="175">
        <v>0.13354037267080746</v>
      </c>
      <c r="BA252" s="175">
        <v>0.07235653658657296</v>
      </c>
      <c r="BB252" s="175">
        <v>1.613899</v>
      </c>
      <c r="BC252" s="207">
        <v>1327</v>
      </c>
      <c r="BD252" s="175">
        <v>1389</v>
      </c>
      <c r="BE252" s="175">
        <v>0.9553635709143269</v>
      </c>
      <c r="BF252" s="175">
        <v>0.5464566883232338</v>
      </c>
      <c r="BG252" s="175">
        <v>0</v>
      </c>
      <c r="BH252" s="175">
        <v>0</v>
      </c>
      <c r="BI252" s="207">
        <v>0</v>
      </c>
      <c r="BJ252" s="207">
        <v>-965.76</v>
      </c>
      <c r="BK252" s="207">
        <v>-16498.399999999998</v>
      </c>
      <c r="BL252" s="207">
        <v>-1126.72</v>
      </c>
      <c r="BM252" s="207">
        <v>0</v>
      </c>
      <c r="BN252" s="207">
        <v>0</v>
      </c>
      <c r="BO252" s="207">
        <v>37331</v>
      </c>
      <c r="BP252" s="207">
        <v>-70528.19987486425</v>
      </c>
      <c r="BQ252" s="207">
        <v>-171261.44</v>
      </c>
      <c r="BR252" s="207">
        <v>-89296.5146976132</v>
      </c>
      <c r="BS252" s="207">
        <v>361995</v>
      </c>
      <c r="BT252" s="207">
        <v>112886</v>
      </c>
      <c r="BU252" s="207">
        <v>324994.3413430885</v>
      </c>
      <c r="BV252" s="207">
        <v>18626.552320533414</v>
      </c>
      <c r="BW252" s="207">
        <v>62107.23800001433</v>
      </c>
      <c r="BX252" s="207">
        <v>165073.91156183698</v>
      </c>
      <c r="BY252" s="207">
        <v>235712.06253475058</v>
      </c>
      <c r="BZ252" s="207">
        <v>331160.83617917163</v>
      </c>
      <c r="CA252" s="207">
        <v>110252.77328683966</v>
      </c>
      <c r="CB252" s="207">
        <v>194718.31910601925</v>
      </c>
      <c r="CC252" s="207">
        <v>362.15999999999997</v>
      </c>
      <c r="CD252" s="207">
        <v>-2416.779888525016</v>
      </c>
      <c r="CE252" s="207">
        <v>163421.4017425675</v>
      </c>
      <c r="CF252" s="207">
        <v>-345199.6781322968</v>
      </c>
      <c r="CG252" s="207">
        <v>213457.77632870572</v>
      </c>
      <c r="CH252" s="207">
        <v>274611.709093376</v>
      </c>
      <c r="CI252" s="207">
        <v>0</v>
      </c>
      <c r="CJ252" s="207">
        <v>3774593.1459386535</v>
      </c>
      <c r="CK252" s="207">
        <v>-158085</v>
      </c>
      <c r="CL252" s="207">
        <v>31358.2</v>
      </c>
      <c r="CM252" s="207">
        <v>45060.369999999995</v>
      </c>
      <c r="CN252" s="207">
        <v>-13702.169999999995</v>
      </c>
      <c r="CO252" s="207">
        <v>17188050.633322656</v>
      </c>
      <c r="CP252" s="207">
        <v>17924925.946176395</v>
      </c>
      <c r="CQ252" s="207">
        <v>4058</v>
      </c>
    </row>
    <row r="253" spans="1:95" ht="11.25">
      <c r="A253" s="207">
        <v>833</v>
      </c>
      <c r="B253" s="207" t="s">
        <v>309</v>
      </c>
      <c r="C253" s="207">
        <v>1662</v>
      </c>
      <c r="D253" s="207">
        <v>6340337.859999999</v>
      </c>
      <c r="E253" s="207">
        <v>2214388.2357315994</v>
      </c>
      <c r="F253" s="207">
        <v>503157.7321255361</v>
      </c>
      <c r="G253" s="207">
        <v>9057883.827857135</v>
      </c>
      <c r="H253" s="207">
        <v>3664.46</v>
      </c>
      <c r="I253" s="207">
        <v>6090332.5200000005</v>
      </c>
      <c r="J253" s="207">
        <v>2967551.3078571344</v>
      </c>
      <c r="K253" s="207">
        <v>35795.663063449196</v>
      </c>
      <c r="L253" s="207">
        <v>-69765.87519805924</v>
      </c>
      <c r="M253" s="207">
        <v>0</v>
      </c>
      <c r="N253" s="207">
        <v>2933581.0957225244</v>
      </c>
      <c r="O253" s="207">
        <v>938246.5240992141</v>
      </c>
      <c r="P253" s="207">
        <v>3871827.6198217385</v>
      </c>
      <c r="Q253" s="207">
        <v>83</v>
      </c>
      <c r="R253" s="207">
        <v>18</v>
      </c>
      <c r="S253" s="207">
        <v>99</v>
      </c>
      <c r="T253" s="207">
        <v>45</v>
      </c>
      <c r="U253" s="207">
        <v>32</v>
      </c>
      <c r="V253" s="207">
        <v>852</v>
      </c>
      <c r="W253" s="207">
        <v>301</v>
      </c>
      <c r="X253" s="207">
        <v>145</v>
      </c>
      <c r="Y253" s="207">
        <v>87</v>
      </c>
      <c r="Z253" s="207">
        <v>10</v>
      </c>
      <c r="AA253" s="207">
        <v>0</v>
      </c>
      <c r="AB253" s="207">
        <v>1576</v>
      </c>
      <c r="AC253" s="207">
        <v>76</v>
      </c>
      <c r="AD253" s="207">
        <v>533</v>
      </c>
      <c r="AE253" s="481">
        <v>1.1277358833681446</v>
      </c>
      <c r="AF253" s="207">
        <v>2214388.2357315994</v>
      </c>
      <c r="AG253" s="207" t="e">
        <v>#DIV/0!</v>
      </c>
      <c r="AH253" s="207" t="e">
        <v>#DIV/0!</v>
      </c>
      <c r="AI253" s="207" t="e">
        <v>#DIV/0!</v>
      </c>
      <c r="AJ253" s="175">
        <v>52</v>
      </c>
      <c r="AK253" s="175">
        <v>714</v>
      </c>
      <c r="AL253" s="175">
        <v>0.7464992414077931</v>
      </c>
      <c r="AM253" s="175">
        <v>76</v>
      </c>
      <c r="AN253" s="175">
        <v>0.0457280385078219</v>
      </c>
      <c r="AO253" s="175">
        <v>0.0424469593973589</v>
      </c>
      <c r="AP253" s="175">
        <v>0</v>
      </c>
      <c r="AQ253" s="175">
        <v>10</v>
      </c>
      <c r="AR253" s="175">
        <v>0</v>
      </c>
      <c r="AS253" s="175">
        <v>3</v>
      </c>
      <c r="AT253" s="175">
        <v>164</v>
      </c>
      <c r="AU253" s="175">
        <v>140.28</v>
      </c>
      <c r="AV253" s="175">
        <v>11.847733105218134</v>
      </c>
      <c r="AW253" s="175">
        <v>1.5319826991138987</v>
      </c>
      <c r="AX253" s="175">
        <v>94</v>
      </c>
      <c r="AY253" s="175">
        <v>448</v>
      </c>
      <c r="AZ253" s="175">
        <v>0.20982142857142858</v>
      </c>
      <c r="BA253" s="175">
        <v>0.14863759248719408</v>
      </c>
      <c r="BB253" s="175">
        <v>0</v>
      </c>
      <c r="BC253" s="207">
        <v>465</v>
      </c>
      <c r="BD253" s="175">
        <v>631</v>
      </c>
      <c r="BE253" s="175">
        <v>0.7369255150554676</v>
      </c>
      <c r="BF253" s="175">
        <v>0.32801863246437446</v>
      </c>
      <c r="BG253" s="175">
        <v>0</v>
      </c>
      <c r="BH253" s="175">
        <v>0</v>
      </c>
      <c r="BI253" s="207">
        <v>0</v>
      </c>
      <c r="BJ253" s="207">
        <v>-398.88</v>
      </c>
      <c r="BK253" s="207">
        <v>-6814.2</v>
      </c>
      <c r="BL253" s="207">
        <v>-465.36000000000007</v>
      </c>
      <c r="BM253" s="207">
        <v>0</v>
      </c>
      <c r="BN253" s="207">
        <v>0</v>
      </c>
      <c r="BO253" s="207">
        <v>-6620</v>
      </c>
      <c r="BP253" s="207">
        <v>-15636.031416233767</v>
      </c>
      <c r="BQ253" s="207">
        <v>-70734.72</v>
      </c>
      <c r="BR253" s="207">
        <v>52289.58244882431</v>
      </c>
      <c r="BS253" s="207">
        <v>179163</v>
      </c>
      <c r="BT253" s="207">
        <v>58959</v>
      </c>
      <c r="BU253" s="207">
        <v>133706.72651570296</v>
      </c>
      <c r="BV253" s="207">
        <v>7469.867713464751</v>
      </c>
      <c r="BW253" s="207">
        <v>-41419.51178332987</v>
      </c>
      <c r="BX253" s="207">
        <v>51137.76790523142</v>
      </c>
      <c r="BY253" s="207">
        <v>93433.40022518885</v>
      </c>
      <c r="BZ253" s="207">
        <v>177756.64269015155</v>
      </c>
      <c r="CA253" s="207">
        <v>50812.74648137167</v>
      </c>
      <c r="CB253" s="207">
        <v>79672.920883548</v>
      </c>
      <c r="CC253" s="207">
        <v>149.57999999999998</v>
      </c>
      <c r="CD253" s="207">
        <v>-208.244891938617</v>
      </c>
      <c r="CE253" s="207">
        <v>126812.09621817454</v>
      </c>
      <c r="CF253" s="207">
        <v>-69765.87519805924</v>
      </c>
      <c r="CG253" s="207">
        <v>79555.79866128885</v>
      </c>
      <c r="CH253" s="207">
        <v>113038.82064051508</v>
      </c>
      <c r="CI253" s="207">
        <v>0</v>
      </c>
      <c r="CJ253" s="207">
        <v>938246.5240992141</v>
      </c>
      <c r="CK253" s="207">
        <v>-343949</v>
      </c>
      <c r="CL253" s="207">
        <v>196329.60000000003</v>
      </c>
      <c r="CM253" s="207">
        <v>24541.2</v>
      </c>
      <c r="CN253" s="207">
        <v>171788.40000000002</v>
      </c>
      <c r="CO253" s="207">
        <v>3527878.6198217385</v>
      </c>
      <c r="CP253" s="207">
        <v>4001702.919888689</v>
      </c>
      <c r="CQ253" s="207">
        <v>1654</v>
      </c>
    </row>
    <row r="254" spans="1:95" ht="11.25">
      <c r="A254" s="207">
        <v>834</v>
      </c>
      <c r="B254" s="207" t="s">
        <v>310</v>
      </c>
      <c r="C254" s="207">
        <v>6081</v>
      </c>
      <c r="D254" s="207">
        <v>22239693.93</v>
      </c>
      <c r="E254" s="207">
        <v>7083036.374302893</v>
      </c>
      <c r="F254" s="207">
        <v>1171629.077175336</v>
      </c>
      <c r="G254" s="207">
        <v>30494359.381478228</v>
      </c>
      <c r="H254" s="207">
        <v>3664.46</v>
      </c>
      <c r="I254" s="207">
        <v>22283581.26</v>
      </c>
      <c r="J254" s="207">
        <v>8210778.121478226</v>
      </c>
      <c r="K254" s="207">
        <v>95656.43516953246</v>
      </c>
      <c r="L254" s="207">
        <v>-671440.2614270186</v>
      </c>
      <c r="M254" s="207">
        <v>0</v>
      </c>
      <c r="N254" s="207">
        <v>7634994.29522074</v>
      </c>
      <c r="O254" s="207">
        <v>2958552.072656462</v>
      </c>
      <c r="P254" s="207">
        <v>10593546.367877202</v>
      </c>
      <c r="Q254" s="207">
        <v>302</v>
      </c>
      <c r="R254" s="207">
        <v>46</v>
      </c>
      <c r="S254" s="207">
        <v>443</v>
      </c>
      <c r="T254" s="207">
        <v>227</v>
      </c>
      <c r="U254" s="207">
        <v>219</v>
      </c>
      <c r="V254" s="207">
        <v>3268</v>
      </c>
      <c r="W254" s="207">
        <v>902</v>
      </c>
      <c r="X254" s="207">
        <v>455</v>
      </c>
      <c r="Y254" s="207">
        <v>219</v>
      </c>
      <c r="Z254" s="207">
        <v>13</v>
      </c>
      <c r="AA254" s="207">
        <v>0</v>
      </c>
      <c r="AB254" s="207">
        <v>5977</v>
      </c>
      <c r="AC254" s="207">
        <v>91</v>
      </c>
      <c r="AD254" s="207">
        <v>1576</v>
      </c>
      <c r="AE254" s="481">
        <v>0.98589149940513</v>
      </c>
      <c r="AF254" s="207">
        <v>7083036.374302893</v>
      </c>
      <c r="AG254" s="207" t="e">
        <v>#DIV/0!</v>
      </c>
      <c r="AH254" s="207" t="e">
        <v>#DIV/0!</v>
      </c>
      <c r="AI254" s="207" t="e">
        <v>#DIV/0!</v>
      </c>
      <c r="AJ254" s="175">
        <v>199</v>
      </c>
      <c r="AK254" s="175">
        <v>2893</v>
      </c>
      <c r="AL254" s="175">
        <v>0.7050645537947545</v>
      </c>
      <c r="AM254" s="175">
        <v>91</v>
      </c>
      <c r="AN254" s="175">
        <v>0.014964643973030751</v>
      </c>
      <c r="AO254" s="175">
        <v>0.011683564862567754</v>
      </c>
      <c r="AP254" s="175">
        <v>0</v>
      </c>
      <c r="AQ254" s="175">
        <v>13</v>
      </c>
      <c r="AR254" s="175">
        <v>0</v>
      </c>
      <c r="AS254" s="175">
        <v>0</v>
      </c>
      <c r="AT254" s="175">
        <v>0</v>
      </c>
      <c r="AU254" s="175">
        <v>640.53</v>
      </c>
      <c r="AV254" s="175">
        <v>9.493700529249216</v>
      </c>
      <c r="AW254" s="175">
        <v>1.9118490292582</v>
      </c>
      <c r="AX254" s="175">
        <v>233</v>
      </c>
      <c r="AY254" s="175">
        <v>1783</v>
      </c>
      <c r="AZ254" s="175">
        <v>0.13067863151991027</v>
      </c>
      <c r="BA254" s="175">
        <v>0.06949479543567577</v>
      </c>
      <c r="BB254" s="175">
        <v>0</v>
      </c>
      <c r="BC254" s="207">
        <v>1664</v>
      </c>
      <c r="BD254" s="175">
        <v>2566</v>
      </c>
      <c r="BE254" s="175">
        <v>0.6484801247077163</v>
      </c>
      <c r="BF254" s="175">
        <v>0.23957324211662323</v>
      </c>
      <c r="BG254" s="175">
        <v>0</v>
      </c>
      <c r="BH254" s="175">
        <v>0</v>
      </c>
      <c r="BI254" s="207">
        <v>0</v>
      </c>
      <c r="BJ254" s="207">
        <v>-1459.44</v>
      </c>
      <c r="BK254" s="207">
        <v>-24932.1</v>
      </c>
      <c r="BL254" s="207">
        <v>-1702.68</v>
      </c>
      <c r="BM254" s="207">
        <v>0</v>
      </c>
      <c r="BN254" s="207">
        <v>0</v>
      </c>
      <c r="BO254" s="207">
        <v>13353</v>
      </c>
      <c r="BP254" s="207">
        <v>-240174.5408853775</v>
      </c>
      <c r="BQ254" s="207">
        <v>-258807.36000000002</v>
      </c>
      <c r="BR254" s="207">
        <v>-58251.34680543095</v>
      </c>
      <c r="BS254" s="207">
        <v>558257</v>
      </c>
      <c r="BT254" s="207">
        <v>177901</v>
      </c>
      <c r="BU254" s="207">
        <v>413684.24193292833</v>
      </c>
      <c r="BV254" s="207">
        <v>17550.324334889014</v>
      </c>
      <c r="BW254" s="207">
        <v>43093.9583576853</v>
      </c>
      <c r="BX254" s="207">
        <v>174923.7953146916</v>
      </c>
      <c r="BY254" s="207">
        <v>338841.11797299766</v>
      </c>
      <c r="BZ254" s="207">
        <v>514769.599567066</v>
      </c>
      <c r="CA254" s="207">
        <v>156363.00208356997</v>
      </c>
      <c r="CB254" s="207">
        <v>274141.72661984514</v>
      </c>
      <c r="CC254" s="207">
        <v>547.29</v>
      </c>
      <c r="CD254" s="207">
        <v>1270.2943352398797</v>
      </c>
      <c r="CE254" s="207">
        <v>230772.7494583589</v>
      </c>
      <c r="CF254" s="207">
        <v>-671440.2614270186</v>
      </c>
      <c r="CG254" s="207">
        <v>267833.32192854997</v>
      </c>
      <c r="CH254" s="207">
        <v>378572.09093533584</v>
      </c>
      <c r="CI254" s="207">
        <v>0</v>
      </c>
      <c r="CJ254" s="207">
        <v>2958552.072656462</v>
      </c>
      <c r="CK254" s="207">
        <v>-1310047</v>
      </c>
      <c r="CL254" s="207">
        <v>118615.8</v>
      </c>
      <c r="CM254" s="207">
        <v>280205.968</v>
      </c>
      <c r="CN254" s="207">
        <v>-161590.168</v>
      </c>
      <c r="CO254" s="207">
        <v>9283499.367877202</v>
      </c>
      <c r="CP254" s="207">
        <v>11529647.346917495</v>
      </c>
      <c r="CQ254" s="207">
        <v>6155</v>
      </c>
    </row>
    <row r="255" spans="1:95" ht="11.25">
      <c r="A255" s="207">
        <v>837</v>
      </c>
      <c r="B255" s="207" t="s">
        <v>311</v>
      </c>
      <c r="C255" s="207">
        <v>235239</v>
      </c>
      <c r="D255" s="207">
        <v>726374780.76</v>
      </c>
      <c r="E255" s="207">
        <v>257670772.50280952</v>
      </c>
      <c r="F255" s="207">
        <v>66205691.83382258</v>
      </c>
      <c r="G255" s="207">
        <v>1050251245.0966321</v>
      </c>
      <c r="H255" s="207">
        <v>3664.46</v>
      </c>
      <c r="I255" s="207">
        <v>862023905.94</v>
      </c>
      <c r="J255" s="207">
        <v>188227339.15663207</v>
      </c>
      <c r="K255" s="207">
        <v>12503213.526041023</v>
      </c>
      <c r="L255" s="207">
        <v>-35780498.17787747</v>
      </c>
      <c r="M255" s="207">
        <v>0</v>
      </c>
      <c r="N255" s="207">
        <v>164950054.5047956</v>
      </c>
      <c r="O255" s="207">
        <v>10762811.466646854</v>
      </c>
      <c r="P255" s="207">
        <v>175712865.97144246</v>
      </c>
      <c r="Q255" s="207">
        <v>13283</v>
      </c>
      <c r="R255" s="207">
        <v>2374</v>
      </c>
      <c r="S255" s="207">
        <v>12653</v>
      </c>
      <c r="T255" s="207">
        <v>5669</v>
      </c>
      <c r="U255" s="207">
        <v>6110</v>
      </c>
      <c r="V255" s="207">
        <v>150643</v>
      </c>
      <c r="W255" s="207">
        <v>24967</v>
      </c>
      <c r="X255" s="207">
        <v>13701</v>
      </c>
      <c r="Y255" s="207">
        <v>5839</v>
      </c>
      <c r="Z255" s="207">
        <v>1268</v>
      </c>
      <c r="AA255" s="207">
        <v>13</v>
      </c>
      <c r="AB255" s="207">
        <v>215928</v>
      </c>
      <c r="AC255" s="207">
        <v>18030</v>
      </c>
      <c r="AD255" s="207">
        <v>44507</v>
      </c>
      <c r="AE255" s="481">
        <v>0.9271296886038374</v>
      </c>
      <c r="AF255" s="207">
        <v>257670772.50280952</v>
      </c>
      <c r="AG255" s="207" t="e">
        <v>#DIV/0!</v>
      </c>
      <c r="AH255" s="207" t="e">
        <v>#DIV/0!</v>
      </c>
      <c r="AI255" s="207" t="e">
        <v>#DIV/0!</v>
      </c>
      <c r="AJ255" s="175">
        <v>13680</v>
      </c>
      <c r="AK255" s="175">
        <v>116490</v>
      </c>
      <c r="AL255" s="175">
        <v>1.203709507986068</v>
      </c>
      <c r="AM255" s="175">
        <v>18030</v>
      </c>
      <c r="AN255" s="175">
        <v>0.0766454541976458</v>
      </c>
      <c r="AO255" s="175">
        <v>0.07336437508718281</v>
      </c>
      <c r="AP255" s="175">
        <v>0</v>
      </c>
      <c r="AQ255" s="175">
        <v>1268</v>
      </c>
      <c r="AR255" s="175">
        <v>13</v>
      </c>
      <c r="AS255" s="175">
        <v>0</v>
      </c>
      <c r="AT255" s="175">
        <v>0</v>
      </c>
      <c r="AU255" s="175">
        <v>524.95</v>
      </c>
      <c r="AV255" s="175">
        <v>448.1169635203352</v>
      </c>
      <c r="AW255" s="175">
        <v>0.04050398359911567</v>
      </c>
      <c r="AX255" s="175">
        <v>8781</v>
      </c>
      <c r="AY255" s="175">
        <v>73903</v>
      </c>
      <c r="AZ255" s="175">
        <v>0.11881790996305969</v>
      </c>
      <c r="BA255" s="175">
        <v>0.057634073878825194</v>
      </c>
      <c r="BB255" s="175">
        <v>0</v>
      </c>
      <c r="BC255" s="207">
        <v>116748</v>
      </c>
      <c r="BD255" s="175">
        <v>95821</v>
      </c>
      <c r="BE255" s="175">
        <v>1.2183968023710878</v>
      </c>
      <c r="BF255" s="175">
        <v>0.8094899197799947</v>
      </c>
      <c r="BG255" s="175">
        <v>0</v>
      </c>
      <c r="BH255" s="175">
        <v>13</v>
      </c>
      <c r="BI255" s="207">
        <v>0</v>
      </c>
      <c r="BJ255" s="207">
        <v>-56457.36</v>
      </c>
      <c r="BK255" s="207">
        <v>-964479.8999999999</v>
      </c>
      <c r="BL255" s="207">
        <v>-65866.92000000001</v>
      </c>
      <c r="BM255" s="207">
        <v>0</v>
      </c>
      <c r="BN255" s="207">
        <v>0</v>
      </c>
      <c r="BO255" s="207">
        <v>4140309</v>
      </c>
      <c r="BP255" s="207">
        <v>-25861713.381829835</v>
      </c>
      <c r="BQ255" s="207">
        <v>-10011771.84</v>
      </c>
      <c r="BR255" s="207">
        <v>-219126.7658828497</v>
      </c>
      <c r="BS255" s="207">
        <v>13723734</v>
      </c>
      <c r="BT255" s="207">
        <v>5251644</v>
      </c>
      <c r="BU255" s="207">
        <v>13128326.768248945</v>
      </c>
      <c r="BV255" s="207">
        <v>597364.1453218474</v>
      </c>
      <c r="BW255" s="207">
        <v>244723.63482833534</v>
      </c>
      <c r="BX255" s="207">
        <v>5254837.725761974</v>
      </c>
      <c r="BY255" s="207">
        <v>11750199.094894685</v>
      </c>
      <c r="BZ255" s="207">
        <v>15523180.842289694</v>
      </c>
      <c r="CA255" s="207">
        <v>6514338.402027659</v>
      </c>
      <c r="CB255" s="207">
        <v>10327022.863926157</v>
      </c>
      <c r="CC255" s="207">
        <v>21171.51</v>
      </c>
      <c r="CD255" s="207">
        <v>2292041.1347244014</v>
      </c>
      <c r="CE255" s="207">
        <v>15691685.133952357</v>
      </c>
      <c r="CF255" s="207">
        <v>-35780498.17787747</v>
      </c>
      <c r="CG255" s="207">
        <v>9224403.645110806</v>
      </c>
      <c r="CH255" s="207">
        <v>14389792.107468199</v>
      </c>
      <c r="CI255" s="207">
        <v>0</v>
      </c>
      <c r="CJ255" s="207">
        <v>10762811.466646854</v>
      </c>
      <c r="CK255" s="207">
        <v>58274343</v>
      </c>
      <c r="CL255" s="207">
        <v>3808794.2400000007</v>
      </c>
      <c r="CM255" s="207">
        <v>13397841.395799996</v>
      </c>
      <c r="CN255" s="207">
        <v>-9589047.155799996</v>
      </c>
      <c r="CO255" s="207">
        <v>233987208.97144246</v>
      </c>
      <c r="CP255" s="207">
        <v>289985627.11130995</v>
      </c>
      <c r="CQ255" s="207">
        <v>231853</v>
      </c>
    </row>
    <row r="256" spans="1:95" ht="11.25">
      <c r="A256" s="207">
        <v>844</v>
      </c>
      <c r="B256" s="207" t="s">
        <v>312</v>
      </c>
      <c r="C256" s="207">
        <v>1567</v>
      </c>
      <c r="D256" s="207">
        <v>5879562.34</v>
      </c>
      <c r="E256" s="207">
        <v>3762153.0295067434</v>
      </c>
      <c r="F256" s="207">
        <v>554273.2231877276</v>
      </c>
      <c r="G256" s="207">
        <v>10195988.59269447</v>
      </c>
      <c r="H256" s="207">
        <v>3664.46</v>
      </c>
      <c r="I256" s="207">
        <v>5742208.82</v>
      </c>
      <c r="J256" s="207">
        <v>4453779.77269447</v>
      </c>
      <c r="K256" s="207">
        <v>207512.08694861011</v>
      </c>
      <c r="L256" s="207">
        <v>-122680.80518556364</v>
      </c>
      <c r="M256" s="207">
        <v>0</v>
      </c>
      <c r="N256" s="207">
        <v>4538611.054457516</v>
      </c>
      <c r="O256" s="207">
        <v>1754548.8360003307</v>
      </c>
      <c r="P256" s="207">
        <v>6293159.890457847</v>
      </c>
      <c r="Q256" s="207">
        <v>53</v>
      </c>
      <c r="R256" s="207">
        <v>17</v>
      </c>
      <c r="S256" s="207">
        <v>56</v>
      </c>
      <c r="T256" s="207">
        <v>40</v>
      </c>
      <c r="U256" s="207">
        <v>42</v>
      </c>
      <c r="V256" s="207">
        <v>784</v>
      </c>
      <c r="W256" s="207">
        <v>316</v>
      </c>
      <c r="X256" s="207">
        <v>169</v>
      </c>
      <c r="Y256" s="207">
        <v>90</v>
      </c>
      <c r="Z256" s="207">
        <v>1</v>
      </c>
      <c r="AA256" s="207">
        <v>0</v>
      </c>
      <c r="AB256" s="207">
        <v>1541</v>
      </c>
      <c r="AC256" s="207">
        <v>25</v>
      </c>
      <c r="AD256" s="207">
        <v>575</v>
      </c>
      <c r="AE256" s="481">
        <v>2.0321329316874572</v>
      </c>
      <c r="AF256" s="207">
        <v>3762153.0295067434</v>
      </c>
      <c r="AG256" s="207" t="e">
        <v>#DIV/0!</v>
      </c>
      <c r="AH256" s="207" t="e">
        <v>#DIV/0!</v>
      </c>
      <c r="AI256" s="207" t="e">
        <v>#DIV/0!</v>
      </c>
      <c r="AJ256" s="175">
        <v>71</v>
      </c>
      <c r="AK256" s="175">
        <v>653</v>
      </c>
      <c r="AL256" s="175">
        <v>1.114472627633604</v>
      </c>
      <c r="AM256" s="175">
        <v>25</v>
      </c>
      <c r="AN256" s="175">
        <v>0.01595405232929164</v>
      </c>
      <c r="AO256" s="175">
        <v>0.012672973218828643</v>
      </c>
      <c r="AP256" s="175">
        <v>0</v>
      </c>
      <c r="AQ256" s="175">
        <v>1</v>
      </c>
      <c r="AR256" s="175">
        <v>0</v>
      </c>
      <c r="AS256" s="175">
        <v>3</v>
      </c>
      <c r="AT256" s="175">
        <v>170</v>
      </c>
      <c r="AU256" s="175">
        <v>347.75</v>
      </c>
      <c r="AV256" s="175">
        <v>4.506110711718188</v>
      </c>
      <c r="AW256" s="175">
        <v>4.027979626357726</v>
      </c>
      <c r="AX256" s="175">
        <v>51</v>
      </c>
      <c r="AY256" s="175">
        <v>351</v>
      </c>
      <c r="AZ256" s="175">
        <v>0.1452991452991453</v>
      </c>
      <c r="BA256" s="175">
        <v>0.08411530921491081</v>
      </c>
      <c r="BB256" s="175">
        <v>0.517533</v>
      </c>
      <c r="BC256" s="207">
        <v>405</v>
      </c>
      <c r="BD256" s="175">
        <v>562</v>
      </c>
      <c r="BE256" s="175">
        <v>0.7206405693950177</v>
      </c>
      <c r="BF256" s="175">
        <v>0.31173368680392466</v>
      </c>
      <c r="BG256" s="175">
        <v>0</v>
      </c>
      <c r="BH256" s="175">
        <v>0</v>
      </c>
      <c r="BI256" s="207">
        <v>0</v>
      </c>
      <c r="BJ256" s="207">
        <v>-376.08</v>
      </c>
      <c r="BK256" s="207">
        <v>-6424.7</v>
      </c>
      <c r="BL256" s="207">
        <v>-438.76000000000005</v>
      </c>
      <c r="BM256" s="207">
        <v>0</v>
      </c>
      <c r="BN256" s="207">
        <v>0</v>
      </c>
      <c r="BO256" s="207">
        <v>-222</v>
      </c>
      <c r="BP256" s="207">
        <v>-58627.801050015754</v>
      </c>
      <c r="BQ256" s="207">
        <v>-66691.52</v>
      </c>
      <c r="BR256" s="207">
        <v>18330.843079575337</v>
      </c>
      <c r="BS256" s="207">
        <v>196111</v>
      </c>
      <c r="BT256" s="207">
        <v>61656</v>
      </c>
      <c r="BU256" s="207">
        <v>159282.21211564902</v>
      </c>
      <c r="BV256" s="207">
        <v>9219.493380649346</v>
      </c>
      <c r="BW256" s="207">
        <v>30583.410181686584</v>
      </c>
      <c r="BX256" s="207">
        <v>62866.85584053083</v>
      </c>
      <c r="BY256" s="207">
        <v>102437.71402169217</v>
      </c>
      <c r="BZ256" s="207">
        <v>138290.7594471471</v>
      </c>
      <c r="CA256" s="207">
        <v>50346.87433976962</v>
      </c>
      <c r="CB256" s="207">
        <v>83779.51160038504</v>
      </c>
      <c r="CC256" s="207">
        <v>141.03</v>
      </c>
      <c r="CD256" s="207">
        <v>-2806.740913561651</v>
      </c>
      <c r="CE256" s="207">
        <v>106546.28586445215</v>
      </c>
      <c r="CF256" s="207">
        <v>-122680.80518556364</v>
      </c>
      <c r="CG256" s="207">
        <v>89551.82369843846</v>
      </c>
      <c r="CH256" s="207">
        <v>122722.49190921332</v>
      </c>
      <c r="CI256" s="207">
        <v>0</v>
      </c>
      <c r="CJ256" s="207">
        <v>1754548.8360003307</v>
      </c>
      <c r="CK256" s="207">
        <v>-305248</v>
      </c>
      <c r="CL256" s="207">
        <v>6817</v>
      </c>
      <c r="CM256" s="207">
        <v>81149.568</v>
      </c>
      <c r="CN256" s="207">
        <v>-74332.568</v>
      </c>
      <c r="CO256" s="207">
        <v>5987911.890457847</v>
      </c>
      <c r="CP256" s="207">
        <v>7554831.863788131</v>
      </c>
      <c r="CQ256" s="207">
        <v>1585</v>
      </c>
    </row>
    <row r="257" spans="1:95" ht="11.25">
      <c r="A257" s="207">
        <v>845</v>
      </c>
      <c r="B257" s="207" t="s">
        <v>313</v>
      </c>
      <c r="C257" s="207">
        <v>3062</v>
      </c>
      <c r="D257" s="207">
        <v>11994090.1</v>
      </c>
      <c r="E257" s="207">
        <v>4070071.3167130006</v>
      </c>
      <c r="F257" s="207">
        <v>1671802.406310401</v>
      </c>
      <c r="G257" s="207">
        <v>17735963.8230234</v>
      </c>
      <c r="H257" s="207">
        <v>3664.46</v>
      </c>
      <c r="I257" s="207">
        <v>11220576.52</v>
      </c>
      <c r="J257" s="207">
        <v>6515387.303023402</v>
      </c>
      <c r="K257" s="207">
        <v>567182.922363637</v>
      </c>
      <c r="L257" s="207">
        <v>-76773.64599075593</v>
      </c>
      <c r="M257" s="207">
        <v>0</v>
      </c>
      <c r="N257" s="207">
        <v>7005796.579396282</v>
      </c>
      <c r="O257" s="207">
        <v>2411882.945600305</v>
      </c>
      <c r="P257" s="207">
        <v>9417679.524996588</v>
      </c>
      <c r="Q257" s="207">
        <v>205</v>
      </c>
      <c r="R257" s="207">
        <v>23</v>
      </c>
      <c r="S257" s="207">
        <v>194</v>
      </c>
      <c r="T257" s="207">
        <v>109</v>
      </c>
      <c r="U257" s="207">
        <v>96</v>
      </c>
      <c r="V257" s="207">
        <v>1566</v>
      </c>
      <c r="W257" s="207">
        <v>433</v>
      </c>
      <c r="X257" s="207">
        <v>306</v>
      </c>
      <c r="Y257" s="207">
        <v>130</v>
      </c>
      <c r="Z257" s="207">
        <v>9</v>
      </c>
      <c r="AA257" s="207">
        <v>2</v>
      </c>
      <c r="AB257" s="207">
        <v>2997</v>
      </c>
      <c r="AC257" s="207">
        <v>54</v>
      </c>
      <c r="AD257" s="207">
        <v>869</v>
      </c>
      <c r="AE257" s="481">
        <v>1.1250750301914263</v>
      </c>
      <c r="AF257" s="207">
        <v>4070071.3167130006</v>
      </c>
      <c r="AG257" s="207" t="e">
        <v>#DIV/0!</v>
      </c>
      <c r="AH257" s="207" t="e">
        <v>#DIV/0!</v>
      </c>
      <c r="AI257" s="207" t="e">
        <v>#DIV/0!</v>
      </c>
      <c r="AJ257" s="175">
        <v>156</v>
      </c>
      <c r="AK257" s="175">
        <v>1257</v>
      </c>
      <c r="AL257" s="175">
        <v>1.2720774662653085</v>
      </c>
      <c r="AM257" s="175">
        <v>54</v>
      </c>
      <c r="AN257" s="175">
        <v>0.017635532331809273</v>
      </c>
      <c r="AO257" s="175">
        <v>0.014354453221346278</v>
      </c>
      <c r="AP257" s="175">
        <v>0</v>
      </c>
      <c r="AQ257" s="175">
        <v>9</v>
      </c>
      <c r="AR257" s="175">
        <v>2</v>
      </c>
      <c r="AS257" s="175">
        <v>0</v>
      </c>
      <c r="AT257" s="175">
        <v>0</v>
      </c>
      <c r="AU257" s="175">
        <v>1559.74</v>
      </c>
      <c r="AV257" s="175">
        <v>1.9631477041045302</v>
      </c>
      <c r="AW257" s="175">
        <v>9.245622274352682</v>
      </c>
      <c r="AX257" s="175">
        <v>101</v>
      </c>
      <c r="AY257" s="175">
        <v>736</v>
      </c>
      <c r="AZ257" s="175">
        <v>0.13722826086956522</v>
      </c>
      <c r="BA257" s="175">
        <v>0.07604442478533072</v>
      </c>
      <c r="BB257" s="175">
        <v>0.705133</v>
      </c>
      <c r="BC257" s="207">
        <v>934</v>
      </c>
      <c r="BD257" s="175">
        <v>1030</v>
      </c>
      <c r="BE257" s="175">
        <v>0.9067961165048544</v>
      </c>
      <c r="BF257" s="175">
        <v>0.4978892339137613</v>
      </c>
      <c r="BG257" s="175">
        <v>0</v>
      </c>
      <c r="BH257" s="175">
        <v>2</v>
      </c>
      <c r="BI257" s="207">
        <v>0</v>
      </c>
      <c r="BJ257" s="207">
        <v>-734.88</v>
      </c>
      <c r="BK257" s="207">
        <v>-12554.199999999999</v>
      </c>
      <c r="BL257" s="207">
        <v>-857.3600000000001</v>
      </c>
      <c r="BM257" s="207">
        <v>0</v>
      </c>
      <c r="BN257" s="207">
        <v>0</v>
      </c>
      <c r="BO257" s="207">
        <v>111673</v>
      </c>
      <c r="BP257" s="207">
        <v>-98313.45220757849</v>
      </c>
      <c r="BQ257" s="207">
        <v>-130318.72</v>
      </c>
      <c r="BR257" s="207">
        <v>88313.80101642758</v>
      </c>
      <c r="BS257" s="207">
        <v>301511</v>
      </c>
      <c r="BT257" s="207">
        <v>94788</v>
      </c>
      <c r="BU257" s="207">
        <v>235943.08993165064</v>
      </c>
      <c r="BV257" s="207">
        <v>13005.778783737596</v>
      </c>
      <c r="BW257" s="207">
        <v>42326.72978797646</v>
      </c>
      <c r="BX257" s="207">
        <v>107710.18747200553</v>
      </c>
      <c r="BY257" s="207">
        <v>159813.91595180737</v>
      </c>
      <c r="BZ257" s="207">
        <v>251861.8474837622</v>
      </c>
      <c r="CA257" s="207">
        <v>69629.61609329381</v>
      </c>
      <c r="CB257" s="207">
        <v>122234.69291125509</v>
      </c>
      <c r="CC257" s="207">
        <v>275.58</v>
      </c>
      <c r="CD257" s="207">
        <v>-4169.778077655308</v>
      </c>
      <c r="CE257" s="207">
        <v>354899.74621682253</v>
      </c>
      <c r="CF257" s="207">
        <v>-76773.64599075593</v>
      </c>
      <c r="CG257" s="207">
        <v>155775.76327805023</v>
      </c>
      <c r="CH257" s="207">
        <v>178339.9036579509</v>
      </c>
      <c r="CI257" s="207">
        <v>0</v>
      </c>
      <c r="CJ257" s="207">
        <v>2411882.945600305</v>
      </c>
      <c r="CK257" s="207">
        <v>-80560</v>
      </c>
      <c r="CL257" s="207">
        <v>59989.59999999999</v>
      </c>
      <c r="CM257" s="207">
        <v>17724.2</v>
      </c>
      <c r="CN257" s="207">
        <v>42265.399999999994</v>
      </c>
      <c r="CO257" s="207">
        <v>9337119.524996588</v>
      </c>
      <c r="CP257" s="207">
        <v>9972378.083794829</v>
      </c>
      <c r="CQ257" s="207">
        <v>3068</v>
      </c>
    </row>
    <row r="258" spans="1:95" ht="11.25">
      <c r="A258" s="207">
        <v>846</v>
      </c>
      <c r="B258" s="207" t="s">
        <v>314</v>
      </c>
      <c r="C258" s="207">
        <v>5158</v>
      </c>
      <c r="D258" s="207">
        <v>20388874.21</v>
      </c>
      <c r="E258" s="207">
        <v>8673470.135580009</v>
      </c>
      <c r="F258" s="207">
        <v>973213.2474406688</v>
      </c>
      <c r="G258" s="207">
        <v>30035557.59302068</v>
      </c>
      <c r="H258" s="207">
        <v>3664.46</v>
      </c>
      <c r="I258" s="207">
        <v>18901284.68</v>
      </c>
      <c r="J258" s="207">
        <v>11134272.913020682</v>
      </c>
      <c r="K258" s="207">
        <v>182888.71780502415</v>
      </c>
      <c r="L258" s="207">
        <v>-520164.656705286</v>
      </c>
      <c r="M258" s="207">
        <v>0</v>
      </c>
      <c r="N258" s="207">
        <v>10796996.97412042</v>
      </c>
      <c r="O258" s="207">
        <v>4976182.482470712</v>
      </c>
      <c r="P258" s="207">
        <v>15773179.456591131</v>
      </c>
      <c r="Q258" s="207">
        <v>249</v>
      </c>
      <c r="R258" s="207">
        <v>52</v>
      </c>
      <c r="S258" s="207">
        <v>329</v>
      </c>
      <c r="T258" s="207">
        <v>171</v>
      </c>
      <c r="U258" s="207">
        <v>181</v>
      </c>
      <c r="V258" s="207">
        <v>2513</v>
      </c>
      <c r="W258" s="207">
        <v>875</v>
      </c>
      <c r="X258" s="207">
        <v>534</v>
      </c>
      <c r="Y258" s="207">
        <v>254</v>
      </c>
      <c r="Z258" s="207">
        <v>38</v>
      </c>
      <c r="AA258" s="207">
        <v>0</v>
      </c>
      <c r="AB258" s="207">
        <v>5060</v>
      </c>
      <c r="AC258" s="207">
        <v>60</v>
      </c>
      <c r="AD258" s="207">
        <v>1663</v>
      </c>
      <c r="AE258" s="481">
        <v>1.4232991927280438</v>
      </c>
      <c r="AF258" s="207">
        <v>8673470.135580009</v>
      </c>
      <c r="AG258" s="207" t="e">
        <v>#DIV/0!</v>
      </c>
      <c r="AH258" s="207" t="e">
        <v>#DIV/0!</v>
      </c>
      <c r="AI258" s="207" t="e">
        <v>#DIV/0!</v>
      </c>
      <c r="AJ258" s="175">
        <v>144</v>
      </c>
      <c r="AK258" s="175">
        <v>2167</v>
      </c>
      <c r="AL258" s="175">
        <v>0.6811265663677509</v>
      </c>
      <c r="AM258" s="175">
        <v>60</v>
      </c>
      <c r="AN258" s="175">
        <v>0.011632415664986429</v>
      </c>
      <c r="AO258" s="175">
        <v>0.008351336554523432</v>
      </c>
      <c r="AP258" s="175">
        <v>0</v>
      </c>
      <c r="AQ258" s="175">
        <v>38</v>
      </c>
      <c r="AR258" s="175">
        <v>0</v>
      </c>
      <c r="AS258" s="175">
        <v>0</v>
      </c>
      <c r="AT258" s="175">
        <v>0</v>
      </c>
      <c r="AU258" s="175">
        <v>554.67</v>
      </c>
      <c r="AV258" s="175">
        <v>9.299222961400472</v>
      </c>
      <c r="AW258" s="175">
        <v>1.9518321279372448</v>
      </c>
      <c r="AX258" s="175">
        <v>183</v>
      </c>
      <c r="AY258" s="175">
        <v>1320</v>
      </c>
      <c r="AZ258" s="175">
        <v>0.13863636363636364</v>
      </c>
      <c r="BA258" s="175">
        <v>0.07745252755212914</v>
      </c>
      <c r="BB258" s="175">
        <v>0</v>
      </c>
      <c r="BC258" s="207">
        <v>1802</v>
      </c>
      <c r="BD258" s="175">
        <v>1899</v>
      </c>
      <c r="BE258" s="175">
        <v>0.9489204844655081</v>
      </c>
      <c r="BF258" s="175">
        <v>0.540013601874415</v>
      </c>
      <c r="BG258" s="175">
        <v>0</v>
      </c>
      <c r="BH258" s="175">
        <v>0</v>
      </c>
      <c r="BI258" s="207">
        <v>0</v>
      </c>
      <c r="BJ258" s="207">
        <v>-1237.9199999999998</v>
      </c>
      <c r="BK258" s="207">
        <v>-21147.8</v>
      </c>
      <c r="BL258" s="207">
        <v>-1444.2400000000002</v>
      </c>
      <c r="BM258" s="207">
        <v>0</v>
      </c>
      <c r="BN258" s="207">
        <v>0</v>
      </c>
      <c r="BO258" s="207">
        <v>-115215</v>
      </c>
      <c r="BP258" s="207">
        <v>-177749.5204704235</v>
      </c>
      <c r="BQ258" s="207">
        <v>-219524.48</v>
      </c>
      <c r="BR258" s="207">
        <v>62084.1270564124</v>
      </c>
      <c r="BS258" s="207">
        <v>576996</v>
      </c>
      <c r="BT258" s="207">
        <v>180373</v>
      </c>
      <c r="BU258" s="207">
        <v>473410.9224047523</v>
      </c>
      <c r="BV258" s="207">
        <v>25183.388047769105</v>
      </c>
      <c r="BW258" s="207">
        <v>43857.31872270107</v>
      </c>
      <c r="BX258" s="207">
        <v>222955.8629928093</v>
      </c>
      <c r="BY258" s="207">
        <v>317312.53966913937</v>
      </c>
      <c r="BZ258" s="207">
        <v>515527.2529931522</v>
      </c>
      <c r="CA258" s="207">
        <v>144626.5101105741</v>
      </c>
      <c r="CB258" s="207">
        <v>273798.9291505118</v>
      </c>
      <c r="CC258" s="207">
        <v>464.21999999999997</v>
      </c>
      <c r="CD258" s="207">
        <v>2892.911402402562</v>
      </c>
      <c r="CE258" s="207">
        <v>219136.32376513744</v>
      </c>
      <c r="CF258" s="207">
        <v>-520164.656705286</v>
      </c>
      <c r="CG258" s="207">
        <v>263803.6453063225</v>
      </c>
      <c r="CH258" s="207">
        <v>371694.1412702412</v>
      </c>
      <c r="CI258" s="207">
        <v>0</v>
      </c>
      <c r="CJ258" s="207">
        <v>4976182.482470712</v>
      </c>
      <c r="CK258" s="207">
        <v>-468764</v>
      </c>
      <c r="CL258" s="207">
        <v>208600.2</v>
      </c>
      <c r="CM258" s="207">
        <v>174719.71</v>
      </c>
      <c r="CN258" s="207">
        <v>33880.49000000002</v>
      </c>
      <c r="CO258" s="207">
        <v>15304415.456591131</v>
      </c>
      <c r="CP258" s="207">
        <v>17528840.701261565</v>
      </c>
      <c r="CQ258" s="207">
        <v>5269</v>
      </c>
    </row>
    <row r="259" spans="1:95" ht="11.25">
      <c r="A259" s="207">
        <v>848</v>
      </c>
      <c r="B259" s="207" t="s">
        <v>315</v>
      </c>
      <c r="C259" s="207">
        <v>4482</v>
      </c>
      <c r="D259" s="207">
        <v>15855493.719999999</v>
      </c>
      <c r="E259" s="207">
        <v>8398468.738960255</v>
      </c>
      <c r="F259" s="207">
        <v>1857803.5227911877</v>
      </c>
      <c r="G259" s="207">
        <v>26111765.981751442</v>
      </c>
      <c r="H259" s="207">
        <v>3664.46</v>
      </c>
      <c r="I259" s="207">
        <v>16424109.72</v>
      </c>
      <c r="J259" s="207">
        <v>9687656.261751441</v>
      </c>
      <c r="K259" s="207">
        <v>309378.6928320047</v>
      </c>
      <c r="L259" s="207">
        <v>115173.05659537797</v>
      </c>
      <c r="M259" s="207">
        <v>0</v>
      </c>
      <c r="N259" s="207">
        <v>10112208.011178823</v>
      </c>
      <c r="O259" s="207">
        <v>4615973.222345953</v>
      </c>
      <c r="P259" s="207">
        <v>14728181.233524777</v>
      </c>
      <c r="Q259" s="207">
        <v>212</v>
      </c>
      <c r="R259" s="207">
        <v>41</v>
      </c>
      <c r="S259" s="207">
        <v>242</v>
      </c>
      <c r="T259" s="207">
        <v>113</v>
      </c>
      <c r="U259" s="207">
        <v>137</v>
      </c>
      <c r="V259" s="207">
        <v>2334</v>
      </c>
      <c r="W259" s="207">
        <v>797</v>
      </c>
      <c r="X259" s="207">
        <v>435</v>
      </c>
      <c r="Y259" s="207">
        <v>171</v>
      </c>
      <c r="Z259" s="207">
        <v>1</v>
      </c>
      <c r="AA259" s="207">
        <v>1</v>
      </c>
      <c r="AB259" s="207">
        <v>4266</v>
      </c>
      <c r="AC259" s="207">
        <v>214</v>
      </c>
      <c r="AD259" s="207">
        <v>1403</v>
      </c>
      <c r="AE259" s="481">
        <v>1.5860355267917596</v>
      </c>
      <c r="AF259" s="207">
        <v>8398468.738960255</v>
      </c>
      <c r="AG259" s="207" t="e">
        <v>#DIV/0!</v>
      </c>
      <c r="AH259" s="207" t="e">
        <v>#DIV/0!</v>
      </c>
      <c r="AI259" s="207" t="e">
        <v>#DIV/0!</v>
      </c>
      <c r="AJ259" s="175">
        <v>306</v>
      </c>
      <c r="AK259" s="175">
        <v>1918</v>
      </c>
      <c r="AL259" s="175">
        <v>1.6352985908773188</v>
      </c>
      <c r="AM259" s="175">
        <v>214</v>
      </c>
      <c r="AN259" s="175">
        <v>0.047746541722445336</v>
      </c>
      <c r="AO259" s="175">
        <v>0.04446546261198234</v>
      </c>
      <c r="AP259" s="175">
        <v>0</v>
      </c>
      <c r="AQ259" s="175">
        <v>1</v>
      </c>
      <c r="AR259" s="175">
        <v>1</v>
      </c>
      <c r="AS259" s="175">
        <v>0</v>
      </c>
      <c r="AT259" s="175">
        <v>0</v>
      </c>
      <c r="AU259" s="175">
        <v>837.76</v>
      </c>
      <c r="AV259" s="175">
        <v>5.34998090145149</v>
      </c>
      <c r="AW259" s="175">
        <v>3.392633072015042</v>
      </c>
      <c r="AX259" s="175">
        <v>200</v>
      </c>
      <c r="AY259" s="175">
        <v>1248</v>
      </c>
      <c r="AZ259" s="175">
        <v>0.16025641025641027</v>
      </c>
      <c r="BA259" s="175">
        <v>0.09907257417217577</v>
      </c>
      <c r="BB259" s="175">
        <v>0.176333</v>
      </c>
      <c r="BC259" s="207">
        <v>1354</v>
      </c>
      <c r="BD259" s="175">
        <v>1540</v>
      </c>
      <c r="BE259" s="175">
        <v>0.8792207792207792</v>
      </c>
      <c r="BF259" s="175">
        <v>0.47031389662968615</v>
      </c>
      <c r="BG259" s="175">
        <v>0</v>
      </c>
      <c r="BH259" s="175">
        <v>1</v>
      </c>
      <c r="BI259" s="207">
        <v>0</v>
      </c>
      <c r="BJ259" s="207">
        <v>-1075.68</v>
      </c>
      <c r="BK259" s="207">
        <v>-18376.199999999997</v>
      </c>
      <c r="BL259" s="207">
        <v>-1254.96</v>
      </c>
      <c r="BM259" s="207">
        <v>0</v>
      </c>
      <c r="BN259" s="207">
        <v>0</v>
      </c>
      <c r="BO259" s="207">
        <v>296673</v>
      </c>
      <c r="BP259" s="207">
        <v>-152005.35535611905</v>
      </c>
      <c r="BQ259" s="207">
        <v>-190753.92</v>
      </c>
      <c r="BR259" s="207">
        <v>146059.5290362984</v>
      </c>
      <c r="BS259" s="207">
        <v>488924</v>
      </c>
      <c r="BT259" s="207">
        <v>151458</v>
      </c>
      <c r="BU259" s="207">
        <v>407823.27488089685</v>
      </c>
      <c r="BV259" s="207">
        <v>23600.248029461156</v>
      </c>
      <c r="BW259" s="207">
        <v>70179.89737688669</v>
      </c>
      <c r="BX259" s="207">
        <v>178361.8782136875</v>
      </c>
      <c r="BY259" s="207">
        <v>258633.18425387493</v>
      </c>
      <c r="BZ259" s="207">
        <v>426043.25547438674</v>
      </c>
      <c r="CA259" s="207">
        <v>124023.69196412733</v>
      </c>
      <c r="CB259" s="207">
        <v>230735.16298174483</v>
      </c>
      <c r="CC259" s="207">
        <v>403.38</v>
      </c>
      <c r="CD259" s="207">
        <v>78219.85477344132</v>
      </c>
      <c r="CE259" s="207">
        <v>755133.7519514969</v>
      </c>
      <c r="CF259" s="207">
        <v>115173.05659537797</v>
      </c>
      <c r="CG259" s="207">
        <v>229340.80814175724</v>
      </c>
      <c r="CH259" s="207">
        <v>316182.97853049287</v>
      </c>
      <c r="CI259" s="207">
        <v>0</v>
      </c>
      <c r="CJ259" s="207">
        <v>4615973.222345953</v>
      </c>
      <c r="CK259" s="207">
        <v>426764</v>
      </c>
      <c r="CL259" s="207">
        <v>74987</v>
      </c>
      <c r="CM259" s="207">
        <v>158863.36800000002</v>
      </c>
      <c r="CN259" s="207">
        <v>-83876.36800000002</v>
      </c>
      <c r="CO259" s="207">
        <v>15154945.233524777</v>
      </c>
      <c r="CP259" s="207">
        <v>16864448.324794788</v>
      </c>
      <c r="CQ259" s="207">
        <v>4571</v>
      </c>
    </row>
    <row r="260" spans="1:95" ht="11.25">
      <c r="A260" s="207">
        <v>849</v>
      </c>
      <c r="B260" s="207" t="s">
        <v>316</v>
      </c>
      <c r="C260" s="207">
        <v>3112</v>
      </c>
      <c r="D260" s="207">
        <v>12533120.23</v>
      </c>
      <c r="E260" s="207">
        <v>3967258.9371775226</v>
      </c>
      <c r="F260" s="207">
        <v>793464.9746129012</v>
      </c>
      <c r="G260" s="207">
        <v>17293844.141790424</v>
      </c>
      <c r="H260" s="207">
        <v>3664.46</v>
      </c>
      <c r="I260" s="207">
        <v>11403799.52</v>
      </c>
      <c r="J260" s="207">
        <v>5890044.621790424</v>
      </c>
      <c r="K260" s="207">
        <v>166082.67395653605</v>
      </c>
      <c r="L260" s="207">
        <v>-248012.55203471016</v>
      </c>
      <c r="M260" s="207">
        <v>0</v>
      </c>
      <c r="N260" s="207">
        <v>5808114.743712249</v>
      </c>
      <c r="O260" s="207">
        <v>3338054.9981678813</v>
      </c>
      <c r="P260" s="207">
        <v>9146169.74188013</v>
      </c>
      <c r="Q260" s="207">
        <v>210</v>
      </c>
      <c r="R260" s="207">
        <v>30</v>
      </c>
      <c r="S260" s="207">
        <v>264</v>
      </c>
      <c r="T260" s="207">
        <v>140</v>
      </c>
      <c r="U260" s="207">
        <v>129</v>
      </c>
      <c r="V260" s="207">
        <v>1516</v>
      </c>
      <c r="W260" s="207">
        <v>451</v>
      </c>
      <c r="X260" s="207">
        <v>261</v>
      </c>
      <c r="Y260" s="207">
        <v>111</v>
      </c>
      <c r="Z260" s="207">
        <v>3</v>
      </c>
      <c r="AA260" s="207">
        <v>0</v>
      </c>
      <c r="AB260" s="207">
        <v>3074</v>
      </c>
      <c r="AC260" s="207">
        <v>35</v>
      </c>
      <c r="AD260" s="207">
        <v>823</v>
      </c>
      <c r="AE260" s="481">
        <v>1.0790351996488787</v>
      </c>
      <c r="AF260" s="207">
        <v>3967258.9371775226</v>
      </c>
      <c r="AG260" s="207" t="e">
        <v>#DIV/0!</v>
      </c>
      <c r="AH260" s="207" t="e">
        <v>#DIV/0!</v>
      </c>
      <c r="AI260" s="207" t="e">
        <v>#DIV/0!</v>
      </c>
      <c r="AJ260" s="175">
        <v>93</v>
      </c>
      <c r="AK260" s="175">
        <v>1296</v>
      </c>
      <c r="AL260" s="175">
        <v>0.7355330399448047</v>
      </c>
      <c r="AM260" s="175">
        <v>35</v>
      </c>
      <c r="AN260" s="175">
        <v>0.011246786632390746</v>
      </c>
      <c r="AO260" s="175">
        <v>0.00796570752192775</v>
      </c>
      <c r="AP260" s="175">
        <v>0</v>
      </c>
      <c r="AQ260" s="175">
        <v>3</v>
      </c>
      <c r="AR260" s="175">
        <v>0</v>
      </c>
      <c r="AS260" s="175">
        <v>0</v>
      </c>
      <c r="AT260" s="175">
        <v>0</v>
      </c>
      <c r="AU260" s="175">
        <v>608.82</v>
      </c>
      <c r="AV260" s="175">
        <v>5.111527216582898</v>
      </c>
      <c r="AW260" s="175">
        <v>3.5509000288659247</v>
      </c>
      <c r="AX260" s="175">
        <v>108</v>
      </c>
      <c r="AY260" s="175">
        <v>806</v>
      </c>
      <c r="AZ260" s="175">
        <v>0.13399503722084366</v>
      </c>
      <c r="BA260" s="175">
        <v>0.07281120113660916</v>
      </c>
      <c r="BB260" s="175">
        <v>0.086933</v>
      </c>
      <c r="BC260" s="207">
        <v>1084</v>
      </c>
      <c r="BD260" s="175">
        <v>1159</v>
      </c>
      <c r="BE260" s="175">
        <v>0.9352890422778257</v>
      </c>
      <c r="BF260" s="175">
        <v>0.5263821596867326</v>
      </c>
      <c r="BG260" s="175">
        <v>0</v>
      </c>
      <c r="BH260" s="175">
        <v>0</v>
      </c>
      <c r="BI260" s="207">
        <v>0</v>
      </c>
      <c r="BJ260" s="207">
        <v>-746.88</v>
      </c>
      <c r="BK260" s="207">
        <v>-12759.199999999999</v>
      </c>
      <c r="BL260" s="207">
        <v>-871.3600000000001</v>
      </c>
      <c r="BM260" s="207">
        <v>0</v>
      </c>
      <c r="BN260" s="207">
        <v>0</v>
      </c>
      <c r="BO260" s="207">
        <v>-35286</v>
      </c>
      <c r="BP260" s="207">
        <v>-44346.157184019976</v>
      </c>
      <c r="BQ260" s="207">
        <v>-132446.72</v>
      </c>
      <c r="BR260" s="207">
        <v>23437.54527264461</v>
      </c>
      <c r="BS260" s="207">
        <v>314226</v>
      </c>
      <c r="BT260" s="207">
        <v>100168</v>
      </c>
      <c r="BU260" s="207">
        <v>257451.3146865465</v>
      </c>
      <c r="BV260" s="207">
        <v>12554.810613471816</v>
      </c>
      <c r="BW260" s="207">
        <v>41698.33530034056</v>
      </c>
      <c r="BX260" s="207">
        <v>129523.2545463595</v>
      </c>
      <c r="BY260" s="207">
        <v>173125.70093132294</v>
      </c>
      <c r="BZ260" s="207">
        <v>339131.47494841396</v>
      </c>
      <c r="CA260" s="207">
        <v>83990.13880289915</v>
      </c>
      <c r="CB260" s="207">
        <v>153250.83389795406</v>
      </c>
      <c r="CC260" s="207">
        <v>280.08</v>
      </c>
      <c r="CD260" s="207">
        <v>-8268.06647281082</v>
      </c>
      <c r="CE260" s="207">
        <v>135137.04514930976</v>
      </c>
      <c r="CF260" s="207">
        <v>-248012.55203471016</v>
      </c>
      <c r="CG260" s="207">
        <v>151892.60634947597</v>
      </c>
      <c r="CH260" s="207">
        <v>220392.46150635177</v>
      </c>
      <c r="CI260" s="207">
        <v>0</v>
      </c>
      <c r="CJ260" s="207">
        <v>3338054.9981678813</v>
      </c>
      <c r="CK260" s="207">
        <v>106035</v>
      </c>
      <c r="CL260" s="207">
        <v>173151.80000000002</v>
      </c>
      <c r="CM260" s="207">
        <v>6817</v>
      </c>
      <c r="CN260" s="207">
        <v>166334.80000000002</v>
      </c>
      <c r="CO260" s="207">
        <v>9252204.74188013</v>
      </c>
      <c r="CP260" s="207">
        <v>10203125.511642594</v>
      </c>
      <c r="CQ260" s="207">
        <v>3192</v>
      </c>
    </row>
    <row r="261" spans="1:95" ht="11.25">
      <c r="A261" s="207">
        <v>850</v>
      </c>
      <c r="B261" s="207" t="s">
        <v>317</v>
      </c>
      <c r="C261" s="207">
        <v>2406</v>
      </c>
      <c r="D261" s="207">
        <v>9121913.03</v>
      </c>
      <c r="E261" s="207">
        <v>2969053.286308095</v>
      </c>
      <c r="F261" s="207">
        <v>550284.5839539649</v>
      </c>
      <c r="G261" s="207">
        <v>12641250.90026206</v>
      </c>
      <c r="H261" s="207">
        <v>3664.46</v>
      </c>
      <c r="I261" s="207">
        <v>8816690.76</v>
      </c>
      <c r="J261" s="207">
        <v>3824560.14026206</v>
      </c>
      <c r="K261" s="207">
        <v>34028.84905719462</v>
      </c>
      <c r="L261" s="207">
        <v>-17167.33512005076</v>
      </c>
      <c r="M261" s="207">
        <v>0</v>
      </c>
      <c r="N261" s="207">
        <v>3841421.654199204</v>
      </c>
      <c r="O261" s="207">
        <v>1635587.0560586702</v>
      </c>
      <c r="P261" s="207">
        <v>5477008.710257874</v>
      </c>
      <c r="Q261" s="207">
        <v>145</v>
      </c>
      <c r="R261" s="207">
        <v>34</v>
      </c>
      <c r="S261" s="207">
        <v>218</v>
      </c>
      <c r="T261" s="207">
        <v>87</v>
      </c>
      <c r="U261" s="207">
        <v>66</v>
      </c>
      <c r="V261" s="207">
        <v>1209</v>
      </c>
      <c r="W261" s="207">
        <v>380</v>
      </c>
      <c r="X261" s="207">
        <v>195</v>
      </c>
      <c r="Y261" s="207">
        <v>72</v>
      </c>
      <c r="Z261" s="207">
        <v>1</v>
      </c>
      <c r="AA261" s="207">
        <v>0</v>
      </c>
      <c r="AB261" s="207">
        <v>2380</v>
      </c>
      <c r="AC261" s="207">
        <v>25</v>
      </c>
      <c r="AD261" s="207">
        <v>647</v>
      </c>
      <c r="AE261" s="481">
        <v>1.0444965802614004</v>
      </c>
      <c r="AF261" s="207">
        <v>2969053.286308095</v>
      </c>
      <c r="AG261" s="207" t="e">
        <v>#DIV/0!</v>
      </c>
      <c r="AH261" s="207" t="e">
        <v>#DIV/0!</v>
      </c>
      <c r="AI261" s="207" t="e">
        <v>#DIV/0!</v>
      </c>
      <c r="AJ261" s="175">
        <v>88</v>
      </c>
      <c r="AK261" s="175">
        <v>1054</v>
      </c>
      <c r="AL261" s="175">
        <v>0.8557882122342442</v>
      </c>
      <c r="AM261" s="175">
        <v>25</v>
      </c>
      <c r="AN261" s="175">
        <v>0.010390689941812137</v>
      </c>
      <c r="AO261" s="175">
        <v>0.00710961083134914</v>
      </c>
      <c r="AP261" s="175">
        <v>0</v>
      </c>
      <c r="AQ261" s="175">
        <v>1</v>
      </c>
      <c r="AR261" s="175">
        <v>0</v>
      </c>
      <c r="AS261" s="175">
        <v>0</v>
      </c>
      <c r="AT261" s="175">
        <v>0</v>
      </c>
      <c r="AU261" s="175">
        <v>361.45</v>
      </c>
      <c r="AV261" s="175">
        <v>6.656522340572693</v>
      </c>
      <c r="AW261" s="175">
        <v>2.7267274429896364</v>
      </c>
      <c r="AX261" s="175">
        <v>89</v>
      </c>
      <c r="AY261" s="175">
        <v>698</v>
      </c>
      <c r="AZ261" s="175">
        <v>0.12750716332378223</v>
      </c>
      <c r="BA261" s="175">
        <v>0.06632332723954773</v>
      </c>
      <c r="BB261" s="175">
        <v>0</v>
      </c>
      <c r="BC261" s="207">
        <v>565</v>
      </c>
      <c r="BD261" s="175">
        <v>905</v>
      </c>
      <c r="BE261" s="175">
        <v>0.6243093922651933</v>
      </c>
      <c r="BF261" s="175">
        <v>0.21540250967410024</v>
      </c>
      <c r="BG261" s="175">
        <v>0</v>
      </c>
      <c r="BH261" s="175">
        <v>0</v>
      </c>
      <c r="BI261" s="207">
        <v>0</v>
      </c>
      <c r="BJ261" s="207">
        <v>-577.4399999999999</v>
      </c>
      <c r="BK261" s="207">
        <v>-9864.599999999999</v>
      </c>
      <c r="BL261" s="207">
        <v>-673.6800000000001</v>
      </c>
      <c r="BM261" s="207">
        <v>0</v>
      </c>
      <c r="BN261" s="207">
        <v>0</v>
      </c>
      <c r="BO261" s="207">
        <v>37010</v>
      </c>
      <c r="BP261" s="207">
        <v>-51610.687468673656</v>
      </c>
      <c r="BQ261" s="207">
        <v>-102399.36</v>
      </c>
      <c r="BR261" s="207">
        <v>129204.97141114902</v>
      </c>
      <c r="BS261" s="207">
        <v>217595</v>
      </c>
      <c r="BT261" s="207">
        <v>70121</v>
      </c>
      <c r="BU261" s="207">
        <v>157566.65010776315</v>
      </c>
      <c r="BV261" s="207">
        <v>6018.4220331636425</v>
      </c>
      <c r="BW261" s="207">
        <v>16014.904402014883</v>
      </c>
      <c r="BX261" s="207">
        <v>71238.97880583534</v>
      </c>
      <c r="BY261" s="207">
        <v>131906.43722749897</v>
      </c>
      <c r="BZ261" s="207">
        <v>199318.96465986373</v>
      </c>
      <c r="CA261" s="207">
        <v>52076.235371586336</v>
      </c>
      <c r="CB261" s="207">
        <v>106125.74955900428</v>
      </c>
      <c r="CC261" s="207">
        <v>216.54</v>
      </c>
      <c r="CD261" s="207">
        <v>16542.449057719383</v>
      </c>
      <c r="CE261" s="207">
        <v>296384.5723486229</v>
      </c>
      <c r="CF261" s="207">
        <v>-17167.33512005076</v>
      </c>
      <c r="CG261" s="207">
        <v>111028.67187975452</v>
      </c>
      <c r="CH261" s="207">
        <v>136359.11993458477</v>
      </c>
      <c r="CI261" s="207">
        <v>0</v>
      </c>
      <c r="CJ261" s="207">
        <v>1635587.0560586702</v>
      </c>
      <c r="CK261" s="207">
        <v>-524237</v>
      </c>
      <c r="CL261" s="207">
        <v>364300.48</v>
      </c>
      <c r="CM261" s="207">
        <v>140552.906</v>
      </c>
      <c r="CN261" s="207">
        <v>223747.574</v>
      </c>
      <c r="CO261" s="207">
        <v>4952771.710257874</v>
      </c>
      <c r="CP261" s="207">
        <v>5850067.412945141</v>
      </c>
      <c r="CQ261" s="207">
        <v>2384</v>
      </c>
    </row>
    <row r="262" spans="1:95" ht="11.25">
      <c r="A262" s="207">
        <v>851</v>
      </c>
      <c r="B262" s="207" t="s">
        <v>318</v>
      </c>
      <c r="C262" s="207">
        <v>21875</v>
      </c>
      <c r="D262" s="207">
        <v>77610752.92</v>
      </c>
      <c r="E262" s="207">
        <v>24455276.142624382</v>
      </c>
      <c r="F262" s="207">
        <v>4681865.995098344</v>
      </c>
      <c r="G262" s="207">
        <v>106747895.05772272</v>
      </c>
      <c r="H262" s="207">
        <v>3664.46</v>
      </c>
      <c r="I262" s="207">
        <v>80160062.5</v>
      </c>
      <c r="J262" s="207">
        <v>26587832.557722718</v>
      </c>
      <c r="K262" s="207">
        <v>1075794.021186357</v>
      </c>
      <c r="L262" s="207">
        <v>-2482569.4033963177</v>
      </c>
      <c r="M262" s="207">
        <v>0</v>
      </c>
      <c r="N262" s="207">
        <v>25181057.175512753</v>
      </c>
      <c r="O262" s="207">
        <v>8479310.249664899</v>
      </c>
      <c r="P262" s="207">
        <v>33660367.42517765</v>
      </c>
      <c r="Q262" s="207">
        <v>1323</v>
      </c>
      <c r="R262" s="207">
        <v>254</v>
      </c>
      <c r="S262" s="207">
        <v>1679</v>
      </c>
      <c r="T262" s="207">
        <v>842</v>
      </c>
      <c r="U262" s="207">
        <v>817</v>
      </c>
      <c r="V262" s="207">
        <v>12016</v>
      </c>
      <c r="W262" s="207">
        <v>3033</v>
      </c>
      <c r="X262" s="207">
        <v>1358</v>
      </c>
      <c r="Y262" s="207">
        <v>553</v>
      </c>
      <c r="Z262" s="207">
        <v>98</v>
      </c>
      <c r="AA262" s="207">
        <v>15</v>
      </c>
      <c r="AB262" s="207">
        <v>21123</v>
      </c>
      <c r="AC262" s="207">
        <v>639</v>
      </c>
      <c r="AD262" s="207">
        <v>4944</v>
      </c>
      <c r="AE262" s="481">
        <v>0.9462571254015709</v>
      </c>
      <c r="AF262" s="207">
        <v>24455276.142624382</v>
      </c>
      <c r="AG262" s="207" t="e">
        <v>#DIV/0!</v>
      </c>
      <c r="AH262" s="207" t="e">
        <v>#DIV/0!</v>
      </c>
      <c r="AI262" s="207" t="e">
        <v>#DIV/0!</v>
      </c>
      <c r="AJ262" s="175">
        <v>1070</v>
      </c>
      <c r="AK262" s="175">
        <v>10091</v>
      </c>
      <c r="AL262" s="175">
        <v>1.0868605125106259</v>
      </c>
      <c r="AM262" s="175">
        <v>639</v>
      </c>
      <c r="AN262" s="175">
        <v>0.029211428571428572</v>
      </c>
      <c r="AO262" s="175">
        <v>0.025930349460965577</v>
      </c>
      <c r="AP262" s="175">
        <v>0</v>
      </c>
      <c r="AQ262" s="175">
        <v>98</v>
      </c>
      <c r="AR262" s="175">
        <v>15</v>
      </c>
      <c r="AS262" s="175">
        <v>0</v>
      </c>
      <c r="AT262" s="175">
        <v>0</v>
      </c>
      <c r="AU262" s="175">
        <v>1188.78</v>
      </c>
      <c r="AV262" s="175">
        <v>18.401218055485455</v>
      </c>
      <c r="AW262" s="175">
        <v>0.9863761239165605</v>
      </c>
      <c r="AX262" s="175">
        <v>746</v>
      </c>
      <c r="AY262" s="175">
        <v>6304</v>
      </c>
      <c r="AZ262" s="175">
        <v>0.11833756345177665</v>
      </c>
      <c r="BA262" s="175">
        <v>0.05715372736754216</v>
      </c>
      <c r="BB262" s="175">
        <v>0.038183</v>
      </c>
      <c r="BC262" s="207">
        <v>8777</v>
      </c>
      <c r="BD262" s="175">
        <v>8504</v>
      </c>
      <c r="BE262" s="175">
        <v>1.0321025399811854</v>
      </c>
      <c r="BF262" s="175">
        <v>0.6231956573900923</v>
      </c>
      <c r="BG262" s="175">
        <v>0</v>
      </c>
      <c r="BH262" s="175">
        <v>15</v>
      </c>
      <c r="BI262" s="207">
        <v>0</v>
      </c>
      <c r="BJ262" s="207">
        <v>-5250</v>
      </c>
      <c r="BK262" s="207">
        <v>-89687.49999999999</v>
      </c>
      <c r="BL262" s="207">
        <v>-6125.000000000001</v>
      </c>
      <c r="BM262" s="207">
        <v>0</v>
      </c>
      <c r="BN262" s="207">
        <v>0</v>
      </c>
      <c r="BO262" s="207">
        <v>-14349</v>
      </c>
      <c r="BP262" s="207">
        <v>-655660.6552605086</v>
      </c>
      <c r="BQ262" s="207">
        <v>-931000</v>
      </c>
      <c r="BR262" s="207">
        <v>-580763.6914084479</v>
      </c>
      <c r="BS262" s="207">
        <v>1689783</v>
      </c>
      <c r="BT262" s="207">
        <v>512361</v>
      </c>
      <c r="BU262" s="207">
        <v>1252194.124183459</v>
      </c>
      <c r="BV262" s="207">
        <v>40707.48580701725</v>
      </c>
      <c r="BW262" s="207">
        <v>63350.42689183841</v>
      </c>
      <c r="BX262" s="207">
        <v>564846.7675050591</v>
      </c>
      <c r="BY262" s="207">
        <v>986831.8784667774</v>
      </c>
      <c r="BZ262" s="207">
        <v>1548331.791137923</v>
      </c>
      <c r="CA262" s="207">
        <v>440767.03542465175</v>
      </c>
      <c r="CB262" s="207">
        <v>832994.803787737</v>
      </c>
      <c r="CC262" s="207">
        <v>1968.75</v>
      </c>
      <c r="CD262" s="207">
        <v>188538.65800846156</v>
      </c>
      <c r="CE262" s="207">
        <v>554622.5018641911</v>
      </c>
      <c r="CF262" s="207">
        <v>-2482569.4033963177</v>
      </c>
      <c r="CG262" s="207">
        <v>937571.5352641775</v>
      </c>
      <c r="CH262" s="207">
        <v>1142909.0632928126</v>
      </c>
      <c r="CI262" s="207">
        <v>0</v>
      </c>
      <c r="CJ262" s="207">
        <v>8479310.249664899</v>
      </c>
      <c r="CK262" s="207">
        <v>-496885</v>
      </c>
      <c r="CL262" s="207">
        <v>355847.4</v>
      </c>
      <c r="CM262" s="207">
        <v>219807.34800000003</v>
      </c>
      <c r="CN262" s="207">
        <v>136040.052</v>
      </c>
      <c r="CO262" s="207">
        <v>33163482.42517765</v>
      </c>
      <c r="CP262" s="207">
        <v>37475776.993826725</v>
      </c>
      <c r="CQ262" s="207">
        <v>21928</v>
      </c>
    </row>
    <row r="263" spans="1:95" ht="11.25">
      <c r="A263" s="207">
        <v>853</v>
      </c>
      <c r="B263" s="207" t="s">
        <v>319</v>
      </c>
      <c r="C263" s="207">
        <v>191331</v>
      </c>
      <c r="D263" s="207">
        <v>597371563.87</v>
      </c>
      <c r="E263" s="207">
        <v>210410096.13539216</v>
      </c>
      <c r="F263" s="207">
        <v>78902737.84158489</v>
      </c>
      <c r="G263" s="207">
        <v>886684397.8469771</v>
      </c>
      <c r="H263" s="207">
        <v>3664.46</v>
      </c>
      <c r="I263" s="207">
        <v>701124796.26</v>
      </c>
      <c r="J263" s="207">
        <v>185559601.58697712</v>
      </c>
      <c r="K263" s="207">
        <v>10487052.140360307</v>
      </c>
      <c r="L263" s="207">
        <v>-30156577.46867521</v>
      </c>
      <c r="M263" s="207">
        <v>0</v>
      </c>
      <c r="N263" s="207">
        <v>165890076.25866222</v>
      </c>
      <c r="O263" s="207">
        <v>-781044.5313057903</v>
      </c>
      <c r="P263" s="207">
        <v>165109031.72735643</v>
      </c>
      <c r="Q263" s="207">
        <v>10244</v>
      </c>
      <c r="R263" s="207">
        <v>1655</v>
      </c>
      <c r="S263" s="207">
        <v>9621</v>
      </c>
      <c r="T263" s="207">
        <v>4465</v>
      </c>
      <c r="U263" s="207">
        <v>4881</v>
      </c>
      <c r="V263" s="207">
        <v>121060</v>
      </c>
      <c r="W263" s="207">
        <v>22019</v>
      </c>
      <c r="X263" s="207">
        <v>11856</v>
      </c>
      <c r="Y263" s="207">
        <v>5530</v>
      </c>
      <c r="Z263" s="207">
        <v>10406</v>
      </c>
      <c r="AA263" s="207">
        <v>13</v>
      </c>
      <c r="AB263" s="207">
        <v>159018</v>
      </c>
      <c r="AC263" s="207">
        <v>21894</v>
      </c>
      <c r="AD263" s="207">
        <v>39405</v>
      </c>
      <c r="AE263" s="481">
        <v>0.9308203871466648</v>
      </c>
      <c r="AF263" s="207">
        <v>210410096.13539216</v>
      </c>
      <c r="AG263" s="207" t="e">
        <v>#DIV/0!</v>
      </c>
      <c r="AH263" s="207" t="e">
        <v>#DIV/0!</v>
      </c>
      <c r="AI263" s="207" t="e">
        <v>#DIV/0!</v>
      </c>
      <c r="AJ263" s="175">
        <v>11513</v>
      </c>
      <c r="AK263" s="175">
        <v>93487</v>
      </c>
      <c r="AL263" s="175">
        <v>1.2622969127665913</v>
      </c>
      <c r="AM263" s="175">
        <v>21894</v>
      </c>
      <c r="AN263" s="175">
        <v>0.11442996691597285</v>
      </c>
      <c r="AO263" s="175">
        <v>0.11114888780550986</v>
      </c>
      <c r="AP263" s="175">
        <v>1</v>
      </c>
      <c r="AQ263" s="175">
        <v>10406</v>
      </c>
      <c r="AR263" s="175">
        <v>13</v>
      </c>
      <c r="AS263" s="175">
        <v>0</v>
      </c>
      <c r="AT263" s="175">
        <v>0</v>
      </c>
      <c r="AU263" s="175">
        <v>245.66</v>
      </c>
      <c r="AV263" s="175">
        <v>778.8447447691932</v>
      </c>
      <c r="AW263" s="175">
        <v>0.023304416268857268</v>
      </c>
      <c r="AX263" s="175">
        <v>9395</v>
      </c>
      <c r="AY263" s="175">
        <v>58486</v>
      </c>
      <c r="AZ263" s="175">
        <v>0.16063673357726635</v>
      </c>
      <c r="BA263" s="175">
        <v>0.09945289749303185</v>
      </c>
      <c r="BB263" s="175">
        <v>0</v>
      </c>
      <c r="BC263" s="207">
        <v>97273</v>
      </c>
      <c r="BD263" s="175">
        <v>78214</v>
      </c>
      <c r="BE263" s="175">
        <v>1.2436776024752603</v>
      </c>
      <c r="BF263" s="175">
        <v>0.8347707198841672</v>
      </c>
      <c r="BG263" s="175">
        <v>0</v>
      </c>
      <c r="BH263" s="175">
        <v>13</v>
      </c>
      <c r="BI263" s="207">
        <v>0</v>
      </c>
      <c r="BJ263" s="207">
        <v>-45919.439999999995</v>
      </c>
      <c r="BK263" s="207">
        <v>-784457.1</v>
      </c>
      <c r="BL263" s="207">
        <v>-53572.68000000001</v>
      </c>
      <c r="BM263" s="207">
        <v>0</v>
      </c>
      <c r="BN263" s="207">
        <v>0</v>
      </c>
      <c r="BO263" s="207">
        <v>491739</v>
      </c>
      <c r="BP263" s="207">
        <v>-18509251.986294605</v>
      </c>
      <c r="BQ263" s="207">
        <v>-8143047.36</v>
      </c>
      <c r="BR263" s="207">
        <v>497689.7856930196</v>
      </c>
      <c r="BS263" s="207">
        <v>12023956</v>
      </c>
      <c r="BT263" s="207">
        <v>4740530</v>
      </c>
      <c r="BU263" s="207">
        <v>11427222.350982357</v>
      </c>
      <c r="BV263" s="207">
        <v>564913.7235415687</v>
      </c>
      <c r="BW263" s="207">
        <v>366930.12714489934</v>
      </c>
      <c r="BX263" s="207">
        <v>4587595.647429567</v>
      </c>
      <c r="BY263" s="207">
        <v>9653934.222865572</v>
      </c>
      <c r="BZ263" s="207">
        <v>13341231.3378736</v>
      </c>
      <c r="CA263" s="207">
        <v>5854496.715964283</v>
      </c>
      <c r="CB263" s="207">
        <v>9081982.03379936</v>
      </c>
      <c r="CC263" s="207">
        <v>17219.79</v>
      </c>
      <c r="CD263" s="207">
        <v>199025.50970257632</v>
      </c>
      <c r="CE263" s="207">
        <v>9182880.48761939</v>
      </c>
      <c r="CF263" s="207">
        <v>-30156577.46867521</v>
      </c>
      <c r="CG263" s="207">
        <v>7787788.712223794</v>
      </c>
      <c r="CH263" s="207">
        <v>12715239.898552928</v>
      </c>
      <c r="CI263" s="207">
        <v>0</v>
      </c>
      <c r="CJ263" s="207">
        <v>-781044.5313057903</v>
      </c>
      <c r="CK263" s="207">
        <v>36845588</v>
      </c>
      <c r="CL263" s="207">
        <v>6152615.180000002</v>
      </c>
      <c r="CM263" s="207">
        <v>8926442.9362</v>
      </c>
      <c r="CN263" s="207">
        <v>-2773827.756199999</v>
      </c>
      <c r="CO263" s="207">
        <v>201954619.72735643</v>
      </c>
      <c r="CP263" s="207">
        <v>251747368.61183807</v>
      </c>
      <c r="CQ263" s="207">
        <v>189669</v>
      </c>
    </row>
    <row r="264" spans="1:95" ht="11.25">
      <c r="A264" s="207">
        <v>857</v>
      </c>
      <c r="B264" s="207" t="s">
        <v>320</v>
      </c>
      <c r="C264" s="207">
        <v>2551</v>
      </c>
      <c r="D264" s="207">
        <v>8894533.92</v>
      </c>
      <c r="E264" s="207">
        <v>5559301.163078571</v>
      </c>
      <c r="F264" s="207">
        <v>921028.147333684</v>
      </c>
      <c r="G264" s="207">
        <v>15374863.230412254</v>
      </c>
      <c r="H264" s="207">
        <v>3664.46</v>
      </c>
      <c r="I264" s="207">
        <v>9348037.46</v>
      </c>
      <c r="J264" s="207">
        <v>6026825.770412253</v>
      </c>
      <c r="K264" s="207">
        <v>239504.1371380989</v>
      </c>
      <c r="L264" s="207">
        <v>-150160.44245189533</v>
      </c>
      <c r="M264" s="207">
        <v>0</v>
      </c>
      <c r="N264" s="207">
        <v>6116169.4650984565</v>
      </c>
      <c r="O264" s="207">
        <v>2588085.3404644933</v>
      </c>
      <c r="P264" s="207">
        <v>8704254.80556295</v>
      </c>
      <c r="Q264" s="207">
        <v>82</v>
      </c>
      <c r="R264" s="207">
        <v>22</v>
      </c>
      <c r="S264" s="207">
        <v>115</v>
      </c>
      <c r="T264" s="207">
        <v>69</v>
      </c>
      <c r="U264" s="207">
        <v>69</v>
      </c>
      <c r="V264" s="207">
        <v>1315</v>
      </c>
      <c r="W264" s="207">
        <v>501</v>
      </c>
      <c r="X264" s="207">
        <v>274</v>
      </c>
      <c r="Y264" s="207">
        <v>104</v>
      </c>
      <c r="Z264" s="207">
        <v>2</v>
      </c>
      <c r="AA264" s="207">
        <v>1</v>
      </c>
      <c r="AB264" s="207">
        <v>2505</v>
      </c>
      <c r="AC264" s="207">
        <v>43</v>
      </c>
      <c r="AD264" s="207">
        <v>879</v>
      </c>
      <c r="AE264" s="481">
        <v>1.8445668373902577</v>
      </c>
      <c r="AF264" s="207">
        <v>5559301.163078571</v>
      </c>
      <c r="AG264" s="207" t="e">
        <v>#DIV/0!</v>
      </c>
      <c r="AH264" s="207" t="e">
        <v>#DIV/0!</v>
      </c>
      <c r="AI264" s="207" t="e">
        <v>#DIV/0!</v>
      </c>
      <c r="AJ264" s="175">
        <v>138</v>
      </c>
      <c r="AK264" s="175">
        <v>986</v>
      </c>
      <c r="AL264" s="175">
        <v>1.4345854122014485</v>
      </c>
      <c r="AM264" s="175">
        <v>43</v>
      </c>
      <c r="AN264" s="175">
        <v>0.01685613484907879</v>
      </c>
      <c r="AO264" s="175">
        <v>0.013575055738615796</v>
      </c>
      <c r="AP264" s="175">
        <v>0</v>
      </c>
      <c r="AQ264" s="175">
        <v>2</v>
      </c>
      <c r="AR264" s="175">
        <v>1</v>
      </c>
      <c r="AS264" s="175">
        <v>0</v>
      </c>
      <c r="AT264" s="175">
        <v>0</v>
      </c>
      <c r="AU264" s="175">
        <v>543.18</v>
      </c>
      <c r="AV264" s="175">
        <v>4.696417393865754</v>
      </c>
      <c r="AW264" s="175">
        <v>3.8647591597417548</v>
      </c>
      <c r="AX264" s="175">
        <v>116</v>
      </c>
      <c r="AY264" s="175">
        <v>649</v>
      </c>
      <c r="AZ264" s="175">
        <v>0.17873651771956856</v>
      </c>
      <c r="BA264" s="175">
        <v>0.11755268163533406</v>
      </c>
      <c r="BB264" s="175">
        <v>0.3374</v>
      </c>
      <c r="BC264" s="207">
        <v>597</v>
      </c>
      <c r="BD264" s="175">
        <v>821</v>
      </c>
      <c r="BE264" s="175">
        <v>0.7271619975639464</v>
      </c>
      <c r="BF264" s="175">
        <v>0.3182551149728533</v>
      </c>
      <c r="BG264" s="175">
        <v>0</v>
      </c>
      <c r="BH264" s="175">
        <v>1</v>
      </c>
      <c r="BI264" s="207">
        <v>0</v>
      </c>
      <c r="BJ264" s="207">
        <v>-612.24</v>
      </c>
      <c r="BK264" s="207">
        <v>-10459.099999999999</v>
      </c>
      <c r="BL264" s="207">
        <v>-714.2800000000001</v>
      </c>
      <c r="BM264" s="207">
        <v>0</v>
      </c>
      <c r="BN264" s="207">
        <v>0</v>
      </c>
      <c r="BO264" s="207">
        <v>106862</v>
      </c>
      <c r="BP264" s="207">
        <v>-131678.7562897487</v>
      </c>
      <c r="BQ264" s="207">
        <v>-108570.56000000001</v>
      </c>
      <c r="BR264" s="207">
        <v>24017.81958437711</v>
      </c>
      <c r="BS264" s="207">
        <v>300356</v>
      </c>
      <c r="BT264" s="207">
        <v>87021</v>
      </c>
      <c r="BU264" s="207">
        <v>228750.0569633556</v>
      </c>
      <c r="BV264" s="207">
        <v>10969.57630153163</v>
      </c>
      <c r="BW264" s="207">
        <v>17385.613345586495</v>
      </c>
      <c r="BX264" s="207">
        <v>111786.84419278541</v>
      </c>
      <c r="BY264" s="207">
        <v>148155.05428529167</v>
      </c>
      <c r="BZ264" s="207">
        <v>234119.64364674693</v>
      </c>
      <c r="CA264" s="207">
        <v>62099.270575895694</v>
      </c>
      <c r="CB264" s="207">
        <v>126183.83449558614</v>
      </c>
      <c r="CC264" s="207">
        <v>229.59</v>
      </c>
      <c r="CD264" s="207">
        <v>-9427.326948806465</v>
      </c>
      <c r="CE264" s="207">
        <v>259245.68383785337</v>
      </c>
      <c r="CF264" s="207">
        <v>-150160.44245189533</v>
      </c>
      <c r="CG264" s="207">
        <v>135038.11120228274</v>
      </c>
      <c r="CH264" s="207">
        <v>166208.77435620033</v>
      </c>
      <c r="CI264" s="207">
        <v>0</v>
      </c>
      <c r="CJ264" s="207">
        <v>2588085.3404644933</v>
      </c>
      <c r="CK264" s="207">
        <v>-55846</v>
      </c>
      <c r="CL264" s="207">
        <v>935292.3999999999</v>
      </c>
      <c r="CM264" s="207">
        <v>83780.93</v>
      </c>
      <c r="CN264" s="207">
        <v>851511.47</v>
      </c>
      <c r="CO264" s="207">
        <v>8648408.80556295</v>
      </c>
      <c r="CP264" s="207">
        <v>9555310.559671406</v>
      </c>
      <c r="CQ264" s="207">
        <v>2597</v>
      </c>
    </row>
    <row r="265" spans="1:95" ht="11.25">
      <c r="A265" s="207">
        <v>858</v>
      </c>
      <c r="B265" s="207" t="s">
        <v>321</v>
      </c>
      <c r="C265" s="207">
        <v>38664</v>
      </c>
      <c r="D265" s="207">
        <v>132693423.72</v>
      </c>
      <c r="E265" s="207">
        <v>36319227.15309709</v>
      </c>
      <c r="F265" s="207">
        <v>7534403.314685186</v>
      </c>
      <c r="G265" s="207">
        <v>176547054.1877823</v>
      </c>
      <c r="H265" s="207">
        <v>3664.46</v>
      </c>
      <c r="I265" s="207">
        <v>141682681.44</v>
      </c>
      <c r="J265" s="207">
        <v>34864372.74778229</v>
      </c>
      <c r="K265" s="207">
        <v>952694.2871213048</v>
      </c>
      <c r="L265" s="207">
        <v>-5082640.438967825</v>
      </c>
      <c r="M265" s="207">
        <v>0</v>
      </c>
      <c r="N265" s="207">
        <v>30734426.59593577</v>
      </c>
      <c r="O265" s="207">
        <v>-9670287.615853155</v>
      </c>
      <c r="P265" s="207">
        <v>21064138.980082616</v>
      </c>
      <c r="Q265" s="207">
        <v>2317</v>
      </c>
      <c r="R265" s="207">
        <v>509</v>
      </c>
      <c r="S265" s="207">
        <v>3333</v>
      </c>
      <c r="T265" s="207">
        <v>1738</v>
      </c>
      <c r="U265" s="207">
        <v>1646</v>
      </c>
      <c r="V265" s="207">
        <v>22365</v>
      </c>
      <c r="W265" s="207">
        <v>4287</v>
      </c>
      <c r="X265" s="207">
        <v>1893</v>
      </c>
      <c r="Y265" s="207">
        <v>576</v>
      </c>
      <c r="Z265" s="207">
        <v>592</v>
      </c>
      <c r="AA265" s="207">
        <v>3</v>
      </c>
      <c r="AB265" s="207">
        <v>36034</v>
      </c>
      <c r="AC265" s="207">
        <v>2035</v>
      </c>
      <c r="AD265" s="207">
        <v>6756</v>
      </c>
      <c r="AE265" s="481">
        <v>0.7950866651325259</v>
      </c>
      <c r="AF265" s="207">
        <v>36319227.15309709</v>
      </c>
      <c r="AG265" s="207" t="e">
        <v>#DIV/0!</v>
      </c>
      <c r="AH265" s="207" t="e">
        <v>#DIV/0!</v>
      </c>
      <c r="AI265" s="207" t="e">
        <v>#DIV/0!</v>
      </c>
      <c r="AJ265" s="175">
        <v>1225</v>
      </c>
      <c r="AK265" s="175">
        <v>19652</v>
      </c>
      <c r="AL265" s="175">
        <v>0.6389304293723541</v>
      </c>
      <c r="AM265" s="175">
        <v>2035</v>
      </c>
      <c r="AN265" s="175">
        <v>0.05263294020277261</v>
      </c>
      <c r="AO265" s="175">
        <v>0.04935186109230961</v>
      </c>
      <c r="AP265" s="175">
        <v>0</v>
      </c>
      <c r="AQ265" s="175">
        <v>592</v>
      </c>
      <c r="AR265" s="175">
        <v>3</v>
      </c>
      <c r="AS265" s="175">
        <v>0</v>
      </c>
      <c r="AT265" s="175">
        <v>0</v>
      </c>
      <c r="AU265" s="175">
        <v>219.5</v>
      </c>
      <c r="AV265" s="175">
        <v>176.14578587699316</v>
      </c>
      <c r="AW265" s="175">
        <v>0.10304261354051421</v>
      </c>
      <c r="AX265" s="175">
        <v>2015</v>
      </c>
      <c r="AY265" s="175">
        <v>13923</v>
      </c>
      <c r="AZ265" s="175">
        <v>0.14472455648926238</v>
      </c>
      <c r="BA265" s="175">
        <v>0.08354072040502789</v>
      </c>
      <c r="BB265" s="175">
        <v>0</v>
      </c>
      <c r="BC265" s="207">
        <v>14116</v>
      </c>
      <c r="BD265" s="175">
        <v>18001</v>
      </c>
      <c r="BE265" s="175">
        <v>0.7841786567412922</v>
      </c>
      <c r="BF265" s="175">
        <v>0.3752717741501991</v>
      </c>
      <c r="BG265" s="175">
        <v>0</v>
      </c>
      <c r="BH265" s="175">
        <v>3</v>
      </c>
      <c r="BI265" s="207">
        <v>0</v>
      </c>
      <c r="BJ265" s="207">
        <v>-9279.359999999999</v>
      </c>
      <c r="BK265" s="207">
        <v>-158522.4</v>
      </c>
      <c r="BL265" s="207">
        <v>-10825.920000000002</v>
      </c>
      <c r="BM265" s="207">
        <v>0</v>
      </c>
      <c r="BN265" s="207">
        <v>0</v>
      </c>
      <c r="BO265" s="207">
        <v>-232623</v>
      </c>
      <c r="BP265" s="207">
        <v>-1450291.2123895036</v>
      </c>
      <c r="BQ265" s="207">
        <v>-1645539.84</v>
      </c>
      <c r="BR265" s="207">
        <v>-666280.6096984223</v>
      </c>
      <c r="BS265" s="207">
        <v>2156396</v>
      </c>
      <c r="BT265" s="207">
        <v>706861</v>
      </c>
      <c r="BU265" s="207">
        <v>1272093.3355424232</v>
      </c>
      <c r="BV265" s="207">
        <v>-2336.5735773642828</v>
      </c>
      <c r="BW265" s="207">
        <v>-229590.6980856142</v>
      </c>
      <c r="BX265" s="207">
        <v>469797.265750496</v>
      </c>
      <c r="BY265" s="207">
        <v>1509083.9554884597</v>
      </c>
      <c r="BZ265" s="207">
        <v>2468625.2045464953</v>
      </c>
      <c r="CA265" s="207">
        <v>720069.4034586762</v>
      </c>
      <c r="CB265" s="207">
        <v>1223552.7957060828</v>
      </c>
      <c r="CC265" s="207">
        <v>3479.7599999999998</v>
      </c>
      <c r="CD265" s="207">
        <v>-116473.72768283144</v>
      </c>
      <c r="CE265" s="207">
        <v>577000.453421678</v>
      </c>
      <c r="CF265" s="207">
        <v>-5082640.438967825</v>
      </c>
      <c r="CG265" s="207">
        <v>1550620.6708029318</v>
      </c>
      <c r="CH265" s="207">
        <v>1658945.651138768</v>
      </c>
      <c r="CI265" s="207">
        <v>0</v>
      </c>
      <c r="CJ265" s="207">
        <v>-9670287.615853155</v>
      </c>
      <c r="CK265" s="207">
        <v>-3459540</v>
      </c>
      <c r="CL265" s="207">
        <v>2671923.1500000004</v>
      </c>
      <c r="CM265" s="207">
        <v>1653132.0437999992</v>
      </c>
      <c r="CN265" s="207">
        <v>1018791.1062000012</v>
      </c>
      <c r="CO265" s="207">
        <v>17604598.980082616</v>
      </c>
      <c r="CP265" s="207">
        <v>23555208.442711435</v>
      </c>
      <c r="CQ265" s="207">
        <v>38646</v>
      </c>
    </row>
    <row r="266" spans="1:95" ht="11.25">
      <c r="A266" s="207">
        <v>859</v>
      </c>
      <c r="B266" s="207" t="s">
        <v>322</v>
      </c>
      <c r="C266" s="207">
        <v>6758</v>
      </c>
      <c r="D266" s="207">
        <v>29396925.640000004</v>
      </c>
      <c r="E266" s="207">
        <v>6387496.864227001</v>
      </c>
      <c r="F266" s="207">
        <v>999948.0947715704</v>
      </c>
      <c r="G266" s="207">
        <v>36784370.59899858</v>
      </c>
      <c r="H266" s="207">
        <v>3664.46</v>
      </c>
      <c r="I266" s="207">
        <v>24764420.68</v>
      </c>
      <c r="J266" s="207">
        <v>12019949.918998577</v>
      </c>
      <c r="K266" s="207">
        <v>61736.880818987185</v>
      </c>
      <c r="L266" s="207">
        <v>-512747.8249611739</v>
      </c>
      <c r="M266" s="207">
        <v>0</v>
      </c>
      <c r="N266" s="207">
        <v>11568938.97485639</v>
      </c>
      <c r="O266" s="207">
        <v>6982559.193020459</v>
      </c>
      <c r="P266" s="207">
        <v>18551498.167876847</v>
      </c>
      <c r="Q266" s="207">
        <v>753</v>
      </c>
      <c r="R266" s="207">
        <v>168</v>
      </c>
      <c r="S266" s="207">
        <v>956</v>
      </c>
      <c r="T266" s="207">
        <v>378</v>
      </c>
      <c r="U266" s="207">
        <v>326</v>
      </c>
      <c r="V266" s="207">
        <v>3322</v>
      </c>
      <c r="W266" s="207">
        <v>491</v>
      </c>
      <c r="X266" s="207">
        <v>259</v>
      </c>
      <c r="Y266" s="207">
        <v>105</v>
      </c>
      <c r="Z266" s="207">
        <v>23</v>
      </c>
      <c r="AA266" s="207">
        <v>1</v>
      </c>
      <c r="AB266" s="207">
        <v>6693</v>
      </c>
      <c r="AC266" s="207">
        <v>41</v>
      </c>
      <c r="AD266" s="207">
        <v>855</v>
      </c>
      <c r="AE266" s="481">
        <v>0.8000132240813029</v>
      </c>
      <c r="AF266" s="207">
        <v>6387496.864227001</v>
      </c>
      <c r="AG266" s="207" t="e">
        <v>#DIV/0!</v>
      </c>
      <c r="AH266" s="207" t="e">
        <v>#DIV/0!</v>
      </c>
      <c r="AI266" s="207" t="e">
        <v>#DIV/0!</v>
      </c>
      <c r="AJ266" s="175">
        <v>241</v>
      </c>
      <c r="AK266" s="175">
        <v>2853</v>
      </c>
      <c r="AL266" s="175">
        <v>0.8658437169107052</v>
      </c>
      <c r="AM266" s="175">
        <v>41</v>
      </c>
      <c r="AN266" s="175">
        <v>0.006066883693400415</v>
      </c>
      <c r="AO266" s="175">
        <v>0.002785804582937418</v>
      </c>
      <c r="AP266" s="175">
        <v>0</v>
      </c>
      <c r="AQ266" s="175">
        <v>23</v>
      </c>
      <c r="AR266" s="175">
        <v>1</v>
      </c>
      <c r="AS266" s="175">
        <v>0</v>
      </c>
      <c r="AT266" s="175">
        <v>0</v>
      </c>
      <c r="AU266" s="175">
        <v>491.81</v>
      </c>
      <c r="AV266" s="175">
        <v>13.741078871922083</v>
      </c>
      <c r="AW266" s="175">
        <v>1.320894982853286</v>
      </c>
      <c r="AX266" s="175">
        <v>175</v>
      </c>
      <c r="AY266" s="175">
        <v>2034</v>
      </c>
      <c r="AZ266" s="175">
        <v>0.08603736479842675</v>
      </c>
      <c r="BA266" s="175">
        <v>0.024853528714192254</v>
      </c>
      <c r="BB266" s="175">
        <v>0</v>
      </c>
      <c r="BC266" s="207">
        <v>1369</v>
      </c>
      <c r="BD266" s="175">
        <v>2498</v>
      </c>
      <c r="BE266" s="175">
        <v>0.5480384307445957</v>
      </c>
      <c r="BF266" s="175">
        <v>0.1391315481535026</v>
      </c>
      <c r="BG266" s="175">
        <v>0</v>
      </c>
      <c r="BH266" s="175">
        <v>1</v>
      </c>
      <c r="BI266" s="207">
        <v>0</v>
      </c>
      <c r="BJ266" s="207">
        <v>-1621.9199999999998</v>
      </c>
      <c r="BK266" s="207">
        <v>-27707.8</v>
      </c>
      <c r="BL266" s="207">
        <v>-1892.2400000000002</v>
      </c>
      <c r="BM266" s="207">
        <v>0</v>
      </c>
      <c r="BN266" s="207">
        <v>0</v>
      </c>
      <c r="BO266" s="207">
        <v>-10589</v>
      </c>
      <c r="BP266" s="207">
        <v>-115701.38723360389</v>
      </c>
      <c r="BQ266" s="207">
        <v>-287620.48000000004</v>
      </c>
      <c r="BR266" s="207">
        <v>-6601.024326741695</v>
      </c>
      <c r="BS266" s="207">
        <v>489868</v>
      </c>
      <c r="BT266" s="207">
        <v>141649</v>
      </c>
      <c r="BU266" s="207">
        <v>325883.5747392184</v>
      </c>
      <c r="BV266" s="207">
        <v>7037.667965960214</v>
      </c>
      <c r="BW266" s="207">
        <v>-6387.871083132727</v>
      </c>
      <c r="BX266" s="207">
        <v>174419.49186866794</v>
      </c>
      <c r="BY266" s="207">
        <v>324994.10975018487</v>
      </c>
      <c r="BZ266" s="207">
        <v>462236.31468592345</v>
      </c>
      <c r="CA266" s="207">
        <v>96271.69736819995</v>
      </c>
      <c r="CB266" s="207">
        <v>248500.20910079058</v>
      </c>
      <c r="CC266" s="207">
        <v>608.22</v>
      </c>
      <c r="CD266" s="207">
        <v>25509.634904605024</v>
      </c>
      <c r="CE266" s="207">
        <v>338697.02227243007</v>
      </c>
      <c r="CF266" s="207">
        <v>-512747.8249611739</v>
      </c>
      <c r="CG266" s="207">
        <v>323078.7716945667</v>
      </c>
      <c r="CH266" s="207">
        <v>356921.5986770283</v>
      </c>
      <c r="CI266" s="207">
        <v>0</v>
      </c>
      <c r="CJ266" s="207">
        <v>6982559.193020459</v>
      </c>
      <c r="CK266" s="207">
        <v>-962699</v>
      </c>
      <c r="CL266" s="207">
        <v>221075.31000000006</v>
      </c>
      <c r="CM266" s="207">
        <v>146783.644</v>
      </c>
      <c r="CN266" s="207">
        <v>74291.66600000006</v>
      </c>
      <c r="CO266" s="207">
        <v>17588799.167876847</v>
      </c>
      <c r="CP266" s="207">
        <v>18511205.080193818</v>
      </c>
      <c r="CQ266" s="207">
        <v>6730</v>
      </c>
    </row>
    <row r="267" spans="1:95" ht="11.25">
      <c r="A267" s="207">
        <v>886</v>
      </c>
      <c r="B267" s="207" t="s">
        <v>323</v>
      </c>
      <c r="C267" s="207">
        <v>13021</v>
      </c>
      <c r="D267" s="207">
        <v>46931511.35</v>
      </c>
      <c r="E267" s="207">
        <v>13539789.412123924</v>
      </c>
      <c r="F267" s="207">
        <v>1893320.3165797177</v>
      </c>
      <c r="G267" s="207">
        <v>62364621.07870364</v>
      </c>
      <c r="H267" s="207">
        <v>3664.46</v>
      </c>
      <c r="I267" s="207">
        <v>47714933.660000004</v>
      </c>
      <c r="J267" s="207">
        <v>14649687.418703638</v>
      </c>
      <c r="K267" s="207">
        <v>241471.70334451334</v>
      </c>
      <c r="L267" s="207">
        <v>-1020548.7794782022</v>
      </c>
      <c r="M267" s="207">
        <v>0</v>
      </c>
      <c r="N267" s="207">
        <v>13870610.34256995</v>
      </c>
      <c r="O267" s="207">
        <v>4297163.963988815</v>
      </c>
      <c r="P267" s="207">
        <v>18167774.306558765</v>
      </c>
      <c r="Q267" s="207">
        <v>787</v>
      </c>
      <c r="R267" s="207">
        <v>155</v>
      </c>
      <c r="S267" s="207">
        <v>963</v>
      </c>
      <c r="T267" s="207">
        <v>469</v>
      </c>
      <c r="U267" s="207">
        <v>458</v>
      </c>
      <c r="V267" s="207">
        <v>6843</v>
      </c>
      <c r="W267" s="207">
        <v>1934</v>
      </c>
      <c r="X267" s="207">
        <v>1081</v>
      </c>
      <c r="Y267" s="207">
        <v>331</v>
      </c>
      <c r="Z267" s="207">
        <v>35</v>
      </c>
      <c r="AA267" s="207">
        <v>1</v>
      </c>
      <c r="AB267" s="207">
        <v>12772</v>
      </c>
      <c r="AC267" s="207">
        <v>213</v>
      </c>
      <c r="AD267" s="207">
        <v>3346</v>
      </c>
      <c r="AE267" s="481">
        <v>0.88014094279648</v>
      </c>
      <c r="AF267" s="207">
        <v>13539789.412123924</v>
      </c>
      <c r="AG267" s="207" t="e">
        <v>#DIV/0!</v>
      </c>
      <c r="AH267" s="207" t="e">
        <v>#DIV/0!</v>
      </c>
      <c r="AI267" s="207" t="e">
        <v>#DIV/0!</v>
      </c>
      <c r="AJ267" s="175">
        <v>531</v>
      </c>
      <c r="AK267" s="175">
        <v>6000</v>
      </c>
      <c r="AL267" s="175">
        <v>0.9071257801022506</v>
      </c>
      <c r="AM267" s="175">
        <v>213</v>
      </c>
      <c r="AN267" s="175">
        <v>0.016358190615160126</v>
      </c>
      <c r="AO267" s="175">
        <v>0.01307711150469713</v>
      </c>
      <c r="AP267" s="175">
        <v>0</v>
      </c>
      <c r="AQ267" s="175">
        <v>35</v>
      </c>
      <c r="AR267" s="175">
        <v>1</v>
      </c>
      <c r="AS267" s="175">
        <v>0</v>
      </c>
      <c r="AT267" s="175">
        <v>0</v>
      </c>
      <c r="AU267" s="175">
        <v>400.65</v>
      </c>
      <c r="AV267" s="175">
        <v>32.49968800698865</v>
      </c>
      <c r="AW267" s="175">
        <v>0.5584829656521666</v>
      </c>
      <c r="AX267" s="175">
        <v>377</v>
      </c>
      <c r="AY267" s="175">
        <v>3965</v>
      </c>
      <c r="AZ267" s="175">
        <v>0.09508196721311475</v>
      </c>
      <c r="BA267" s="175">
        <v>0.03389813112888026</v>
      </c>
      <c r="BB267" s="175">
        <v>0</v>
      </c>
      <c r="BC267" s="207">
        <v>3530</v>
      </c>
      <c r="BD267" s="175">
        <v>5106</v>
      </c>
      <c r="BE267" s="175">
        <v>0.691343517430474</v>
      </c>
      <c r="BF267" s="175">
        <v>0.28243663483938086</v>
      </c>
      <c r="BG267" s="175">
        <v>0</v>
      </c>
      <c r="BH267" s="175">
        <v>1</v>
      </c>
      <c r="BI267" s="207">
        <v>0</v>
      </c>
      <c r="BJ267" s="207">
        <v>-3125.04</v>
      </c>
      <c r="BK267" s="207">
        <v>-53386.1</v>
      </c>
      <c r="BL267" s="207">
        <v>-3645.8800000000006</v>
      </c>
      <c r="BM267" s="207">
        <v>0</v>
      </c>
      <c r="BN267" s="207">
        <v>0</v>
      </c>
      <c r="BO267" s="207">
        <v>74126</v>
      </c>
      <c r="BP267" s="207">
        <v>-293513.88279656944</v>
      </c>
      <c r="BQ267" s="207">
        <v>-554173.76</v>
      </c>
      <c r="BR267" s="207">
        <v>-4173.156892091036</v>
      </c>
      <c r="BS267" s="207">
        <v>922593</v>
      </c>
      <c r="BT267" s="207">
        <v>300996</v>
      </c>
      <c r="BU267" s="207">
        <v>649118.2912190023</v>
      </c>
      <c r="BV267" s="207">
        <v>22538.759750654543</v>
      </c>
      <c r="BW267" s="207">
        <v>21797.099511807362</v>
      </c>
      <c r="BX267" s="207">
        <v>348972.57152508094</v>
      </c>
      <c r="BY267" s="207">
        <v>597647.8459807622</v>
      </c>
      <c r="BZ267" s="207">
        <v>1026851.5923281434</v>
      </c>
      <c r="CA267" s="207">
        <v>254610.187741525</v>
      </c>
      <c r="CB267" s="207">
        <v>505369.26222574525</v>
      </c>
      <c r="CC267" s="207">
        <v>1171.8899999999999</v>
      </c>
      <c r="CD267" s="207">
        <v>58794.594794029035</v>
      </c>
      <c r="CE267" s="207">
        <v>690561.3733183673</v>
      </c>
      <c r="CF267" s="207">
        <v>-1020548.7794782022</v>
      </c>
      <c r="CG267" s="207">
        <v>547751.2554164293</v>
      </c>
      <c r="CH267" s="207">
        <v>667315.7690492257</v>
      </c>
      <c r="CI267" s="207">
        <v>0</v>
      </c>
      <c r="CJ267" s="207">
        <v>4297163.963988815</v>
      </c>
      <c r="CK267" s="207">
        <v>-827008</v>
      </c>
      <c r="CL267" s="207">
        <v>698197.14</v>
      </c>
      <c r="CM267" s="207">
        <v>509640.2834</v>
      </c>
      <c r="CN267" s="207">
        <v>188556.8566</v>
      </c>
      <c r="CO267" s="207">
        <v>17340766.306558765</v>
      </c>
      <c r="CP267" s="207">
        <v>21069444.96106408</v>
      </c>
      <c r="CQ267" s="207">
        <v>13237</v>
      </c>
    </row>
    <row r="268" spans="1:95" ht="11.25">
      <c r="A268" s="207">
        <v>887</v>
      </c>
      <c r="B268" s="207" t="s">
        <v>324</v>
      </c>
      <c r="C268" s="207">
        <v>4792</v>
      </c>
      <c r="D268" s="207">
        <v>18038978.3</v>
      </c>
      <c r="E268" s="207">
        <v>6691249.494314124</v>
      </c>
      <c r="F268" s="207">
        <v>1245404.439960142</v>
      </c>
      <c r="G268" s="207">
        <v>25975632.234274264</v>
      </c>
      <c r="H268" s="207">
        <v>3664.46</v>
      </c>
      <c r="I268" s="207">
        <v>17560092.32</v>
      </c>
      <c r="J268" s="207">
        <v>8415539.914274264</v>
      </c>
      <c r="K268" s="207">
        <v>142804.2526787319</v>
      </c>
      <c r="L268" s="207">
        <v>-423926.70839939226</v>
      </c>
      <c r="M268" s="207">
        <v>0</v>
      </c>
      <c r="N268" s="207">
        <v>8134417.458553603</v>
      </c>
      <c r="O268" s="207">
        <v>4408830.510476098</v>
      </c>
      <c r="P268" s="207">
        <v>12543247.969029702</v>
      </c>
      <c r="Q268" s="207">
        <v>232</v>
      </c>
      <c r="R268" s="207">
        <v>40</v>
      </c>
      <c r="S268" s="207">
        <v>276</v>
      </c>
      <c r="T268" s="207">
        <v>136</v>
      </c>
      <c r="U268" s="207">
        <v>137</v>
      </c>
      <c r="V268" s="207">
        <v>2450</v>
      </c>
      <c r="W268" s="207">
        <v>820</v>
      </c>
      <c r="X268" s="207">
        <v>475</v>
      </c>
      <c r="Y268" s="207">
        <v>226</v>
      </c>
      <c r="Z268" s="207">
        <v>12</v>
      </c>
      <c r="AA268" s="207">
        <v>0</v>
      </c>
      <c r="AB268" s="207">
        <v>4655</v>
      </c>
      <c r="AC268" s="207">
        <v>125</v>
      </c>
      <c r="AD268" s="207">
        <v>1521</v>
      </c>
      <c r="AE268" s="481">
        <v>1.1818845829698184</v>
      </c>
      <c r="AF268" s="207">
        <v>6691249.494314124</v>
      </c>
      <c r="AG268" s="207" t="e">
        <v>#DIV/0!</v>
      </c>
      <c r="AH268" s="207" t="e">
        <v>#DIV/0!</v>
      </c>
      <c r="AI268" s="207" t="e">
        <v>#DIV/0!</v>
      </c>
      <c r="AJ268" s="175">
        <v>195</v>
      </c>
      <c r="AK268" s="175">
        <v>2018</v>
      </c>
      <c r="AL268" s="175">
        <v>0.9904617040978028</v>
      </c>
      <c r="AM268" s="175">
        <v>125</v>
      </c>
      <c r="AN268" s="175">
        <v>0.026085141903171953</v>
      </c>
      <c r="AO268" s="175">
        <v>0.022804062792708957</v>
      </c>
      <c r="AP268" s="175">
        <v>0</v>
      </c>
      <c r="AQ268" s="175">
        <v>12</v>
      </c>
      <c r="AR268" s="175">
        <v>0</v>
      </c>
      <c r="AS268" s="175">
        <v>0</v>
      </c>
      <c r="AT268" s="175">
        <v>0</v>
      </c>
      <c r="AU268" s="175">
        <v>475.4</v>
      </c>
      <c r="AV268" s="175">
        <v>10.079932688262517</v>
      </c>
      <c r="AW268" s="175">
        <v>1.8006590621431804</v>
      </c>
      <c r="AX268" s="175">
        <v>260</v>
      </c>
      <c r="AY268" s="175">
        <v>1382</v>
      </c>
      <c r="AZ268" s="175">
        <v>0.18813314037626627</v>
      </c>
      <c r="BA268" s="175">
        <v>0.12694930429203177</v>
      </c>
      <c r="BB268" s="175">
        <v>0</v>
      </c>
      <c r="BC268" s="207">
        <v>1446</v>
      </c>
      <c r="BD268" s="175">
        <v>1676</v>
      </c>
      <c r="BE268" s="175">
        <v>0.8627684964200477</v>
      </c>
      <c r="BF268" s="175">
        <v>0.4538616138289546</v>
      </c>
      <c r="BG268" s="175">
        <v>0</v>
      </c>
      <c r="BH268" s="175">
        <v>0</v>
      </c>
      <c r="BI268" s="207">
        <v>0</v>
      </c>
      <c r="BJ268" s="207">
        <v>-1150.08</v>
      </c>
      <c r="BK268" s="207">
        <v>-19647.199999999997</v>
      </c>
      <c r="BL268" s="207">
        <v>-1341.7600000000002</v>
      </c>
      <c r="BM268" s="207">
        <v>0</v>
      </c>
      <c r="BN268" s="207">
        <v>0</v>
      </c>
      <c r="BO268" s="207">
        <v>52063</v>
      </c>
      <c r="BP268" s="207">
        <v>-227881.07993531827</v>
      </c>
      <c r="BQ268" s="207">
        <v>-203947.52000000002</v>
      </c>
      <c r="BR268" s="207">
        <v>15813.88045085594</v>
      </c>
      <c r="BS268" s="207">
        <v>549175</v>
      </c>
      <c r="BT268" s="207">
        <v>163385</v>
      </c>
      <c r="BU268" s="207">
        <v>401924.0422769373</v>
      </c>
      <c r="BV268" s="207">
        <v>19645.457703307464</v>
      </c>
      <c r="BW268" s="207">
        <v>75344.32793068762</v>
      </c>
      <c r="BX268" s="207">
        <v>180286.47575446786</v>
      </c>
      <c r="BY268" s="207">
        <v>280776.1027136017</v>
      </c>
      <c r="BZ268" s="207">
        <v>474953.86153675884</v>
      </c>
      <c r="CA268" s="207">
        <v>133064.05355624924</v>
      </c>
      <c r="CB268" s="207">
        <v>233376.78067092708</v>
      </c>
      <c r="CC268" s="207">
        <v>431.28</v>
      </c>
      <c r="CD268" s="207">
        <v>24462.031734294018</v>
      </c>
      <c r="CE268" s="207">
        <v>325659.4115359261</v>
      </c>
      <c r="CF268" s="207">
        <v>-423926.70839939226</v>
      </c>
      <c r="CG268" s="207">
        <v>228145.13935077615</v>
      </c>
      <c r="CH268" s="207">
        <v>313637.1088169891</v>
      </c>
      <c r="CI268" s="207">
        <v>0</v>
      </c>
      <c r="CJ268" s="207">
        <v>4408830.510476098</v>
      </c>
      <c r="CK268" s="207">
        <v>-385498</v>
      </c>
      <c r="CL268" s="207">
        <v>628868.25</v>
      </c>
      <c r="CM268" s="207">
        <v>276892.906</v>
      </c>
      <c r="CN268" s="207">
        <v>351975.344</v>
      </c>
      <c r="CO268" s="207">
        <v>12157749.969029702</v>
      </c>
      <c r="CP268" s="207">
        <v>13370998.94198524</v>
      </c>
      <c r="CQ268" s="207">
        <v>4829</v>
      </c>
    </row>
    <row r="269" spans="1:95" ht="11.25">
      <c r="A269" s="207">
        <v>889</v>
      </c>
      <c r="B269" s="207" t="s">
        <v>325</v>
      </c>
      <c r="C269" s="207">
        <v>2702</v>
      </c>
      <c r="D269" s="207">
        <v>10680724.3</v>
      </c>
      <c r="E269" s="207">
        <v>4993400.615827081</v>
      </c>
      <c r="F269" s="207">
        <v>1662476.0622419931</v>
      </c>
      <c r="G269" s="207">
        <v>17336600.978069074</v>
      </c>
      <c r="H269" s="207">
        <v>3664.46</v>
      </c>
      <c r="I269" s="207">
        <v>9901370.92</v>
      </c>
      <c r="J269" s="207">
        <v>7435230.0580690745</v>
      </c>
      <c r="K269" s="207">
        <v>400031.53736511205</v>
      </c>
      <c r="L269" s="207">
        <v>-181765.4355167345</v>
      </c>
      <c r="M269" s="207">
        <v>0</v>
      </c>
      <c r="N269" s="207">
        <v>7653496.159917452</v>
      </c>
      <c r="O269" s="207">
        <v>2579077.62001888</v>
      </c>
      <c r="P269" s="207">
        <v>10232573.779936332</v>
      </c>
      <c r="Q269" s="207">
        <v>121</v>
      </c>
      <c r="R269" s="207">
        <v>37</v>
      </c>
      <c r="S269" s="207">
        <v>187</v>
      </c>
      <c r="T269" s="207">
        <v>109</v>
      </c>
      <c r="U269" s="207">
        <v>89</v>
      </c>
      <c r="V269" s="207">
        <v>1355</v>
      </c>
      <c r="W269" s="207">
        <v>449</v>
      </c>
      <c r="X269" s="207">
        <v>225</v>
      </c>
      <c r="Y269" s="207">
        <v>130</v>
      </c>
      <c r="Z269" s="207">
        <v>0</v>
      </c>
      <c r="AA269" s="207">
        <v>0</v>
      </c>
      <c r="AB269" s="207">
        <v>2647</v>
      </c>
      <c r="AC269" s="207">
        <v>55</v>
      </c>
      <c r="AD269" s="207">
        <v>804</v>
      </c>
      <c r="AE269" s="481">
        <v>1.5642123813302973</v>
      </c>
      <c r="AF269" s="207">
        <v>4993400.615827081</v>
      </c>
      <c r="AG269" s="207" t="e">
        <v>#DIV/0!</v>
      </c>
      <c r="AH269" s="207" t="e">
        <v>#DIV/0!</v>
      </c>
      <c r="AI269" s="207" t="e">
        <v>#DIV/0!</v>
      </c>
      <c r="AJ269" s="175">
        <v>115</v>
      </c>
      <c r="AK269" s="175">
        <v>1106</v>
      </c>
      <c r="AL269" s="175">
        <v>1.0657784933925771</v>
      </c>
      <c r="AM269" s="175">
        <v>55</v>
      </c>
      <c r="AN269" s="175">
        <v>0.020355292376017766</v>
      </c>
      <c r="AO269" s="175">
        <v>0.01707421326555477</v>
      </c>
      <c r="AP269" s="175">
        <v>0</v>
      </c>
      <c r="AQ269" s="175">
        <v>0</v>
      </c>
      <c r="AR269" s="175">
        <v>0</v>
      </c>
      <c r="AS269" s="175">
        <v>0</v>
      </c>
      <c r="AT269" s="175">
        <v>0</v>
      </c>
      <c r="AU269" s="175">
        <v>1671.17</v>
      </c>
      <c r="AV269" s="175">
        <v>1.6168313217685812</v>
      </c>
      <c r="AW269" s="175">
        <v>11.225983747679447</v>
      </c>
      <c r="AX269" s="175">
        <v>101</v>
      </c>
      <c r="AY269" s="175">
        <v>691</v>
      </c>
      <c r="AZ269" s="175">
        <v>0.14616497829232997</v>
      </c>
      <c r="BA269" s="175">
        <v>0.08498114220809547</v>
      </c>
      <c r="BB269" s="175">
        <v>0.511199</v>
      </c>
      <c r="BC269" s="207">
        <v>906</v>
      </c>
      <c r="BD269" s="175">
        <v>925</v>
      </c>
      <c r="BE269" s="175">
        <v>0.9794594594594594</v>
      </c>
      <c r="BF269" s="175">
        <v>0.5705525768683664</v>
      </c>
      <c r="BG269" s="175">
        <v>0</v>
      </c>
      <c r="BH269" s="175">
        <v>0</v>
      </c>
      <c r="BI269" s="207">
        <v>0</v>
      </c>
      <c r="BJ269" s="207">
        <v>-648.48</v>
      </c>
      <c r="BK269" s="207">
        <v>-11078.199999999999</v>
      </c>
      <c r="BL269" s="207">
        <v>-756.5600000000001</v>
      </c>
      <c r="BM269" s="207">
        <v>0</v>
      </c>
      <c r="BN269" s="207">
        <v>0</v>
      </c>
      <c r="BO269" s="207">
        <v>-7310</v>
      </c>
      <c r="BP269" s="207">
        <v>536.5048762996012</v>
      </c>
      <c r="BQ269" s="207">
        <v>-114997.12000000001</v>
      </c>
      <c r="BR269" s="207">
        <v>-2570.9969102814794</v>
      </c>
      <c r="BS269" s="207">
        <v>304094</v>
      </c>
      <c r="BT269" s="207">
        <v>86201</v>
      </c>
      <c r="BU269" s="207">
        <v>209049.50168991182</v>
      </c>
      <c r="BV269" s="207">
        <v>11733.723567627167</v>
      </c>
      <c r="BW269" s="207">
        <v>30010.95659348567</v>
      </c>
      <c r="BX269" s="207">
        <v>107001.43628257842</v>
      </c>
      <c r="BY269" s="207">
        <v>164155.83698869185</v>
      </c>
      <c r="BZ269" s="207">
        <v>240348.33304669717</v>
      </c>
      <c r="CA269" s="207">
        <v>59483.150294640654</v>
      </c>
      <c r="CB269" s="207">
        <v>130808.43734629493</v>
      </c>
      <c r="CC269" s="207">
        <v>243.17999999999998</v>
      </c>
      <c r="CD269" s="207">
        <v>-33440.505037031864</v>
      </c>
      <c r="CE269" s="207">
        <v>111864.79960696585</v>
      </c>
      <c r="CF269" s="207">
        <v>-181765.4355167345</v>
      </c>
      <c r="CG269" s="207">
        <v>152268.1415542792</v>
      </c>
      <c r="CH269" s="207">
        <v>166288.40463875502</v>
      </c>
      <c r="CI269" s="207">
        <v>0</v>
      </c>
      <c r="CJ269" s="207">
        <v>2579077.62001888</v>
      </c>
      <c r="CK269" s="207">
        <v>249843</v>
      </c>
      <c r="CL269" s="207">
        <v>191148.68000000002</v>
      </c>
      <c r="CM269" s="207">
        <v>57262.8</v>
      </c>
      <c r="CN269" s="207">
        <v>133885.88</v>
      </c>
      <c r="CO269" s="207">
        <v>10482416.779936332</v>
      </c>
      <c r="CP269" s="207">
        <v>11386675.771235896</v>
      </c>
      <c r="CQ269" s="207">
        <v>2768</v>
      </c>
    </row>
    <row r="270" spans="1:95" ht="11.25">
      <c r="A270" s="207">
        <v>890</v>
      </c>
      <c r="B270" s="207" t="s">
        <v>326</v>
      </c>
      <c r="C270" s="207">
        <v>1232</v>
      </c>
      <c r="D270" s="207">
        <v>4459641.03</v>
      </c>
      <c r="E270" s="207">
        <v>1441355.092993374</v>
      </c>
      <c r="F270" s="207">
        <v>1228295.592312945</v>
      </c>
      <c r="G270" s="207">
        <v>7129291.715306319</v>
      </c>
      <c r="H270" s="207">
        <v>3664.46</v>
      </c>
      <c r="I270" s="207">
        <v>4514614.72</v>
      </c>
      <c r="J270" s="207">
        <v>2614676.9953063196</v>
      </c>
      <c r="K270" s="207">
        <v>3057375.6202502674</v>
      </c>
      <c r="L270" s="207">
        <v>264287.0168348074</v>
      </c>
      <c r="M270" s="207">
        <v>0</v>
      </c>
      <c r="N270" s="207">
        <v>5936339.632391394</v>
      </c>
      <c r="O270" s="207">
        <v>832101.26984088</v>
      </c>
      <c r="P270" s="207">
        <v>6768440.902232274</v>
      </c>
      <c r="Q270" s="207">
        <v>56</v>
      </c>
      <c r="R270" s="207">
        <v>10</v>
      </c>
      <c r="S270" s="207">
        <v>83</v>
      </c>
      <c r="T270" s="207">
        <v>43</v>
      </c>
      <c r="U270" s="207">
        <v>34</v>
      </c>
      <c r="V270" s="207">
        <v>638</v>
      </c>
      <c r="W270" s="207">
        <v>212</v>
      </c>
      <c r="X270" s="207">
        <v>113</v>
      </c>
      <c r="Y270" s="207">
        <v>43</v>
      </c>
      <c r="Z270" s="207">
        <v>2</v>
      </c>
      <c r="AA270" s="207">
        <v>530</v>
      </c>
      <c r="AB270" s="207">
        <v>655</v>
      </c>
      <c r="AC270" s="207">
        <v>45</v>
      </c>
      <c r="AD270" s="207">
        <v>368</v>
      </c>
      <c r="AE270" s="481">
        <v>0.9902501857676086</v>
      </c>
      <c r="AF270" s="207">
        <v>1441355.092993374</v>
      </c>
      <c r="AG270" s="207" t="e">
        <v>#DIV/0!</v>
      </c>
      <c r="AH270" s="207" t="e">
        <v>#DIV/0!</v>
      </c>
      <c r="AI270" s="207" t="e">
        <v>#DIV/0!</v>
      </c>
      <c r="AJ270" s="175">
        <v>41</v>
      </c>
      <c r="AK270" s="175">
        <v>561</v>
      </c>
      <c r="AL270" s="175">
        <v>0.7491093786155126</v>
      </c>
      <c r="AM270" s="175">
        <v>45</v>
      </c>
      <c r="AN270" s="175">
        <v>0.036525974025974024</v>
      </c>
      <c r="AO270" s="175">
        <v>0.033244894915511025</v>
      </c>
      <c r="AP270" s="175">
        <v>0</v>
      </c>
      <c r="AQ270" s="175">
        <v>2</v>
      </c>
      <c r="AR270" s="175">
        <v>530</v>
      </c>
      <c r="AS270" s="175">
        <v>0</v>
      </c>
      <c r="AT270" s="175">
        <v>0</v>
      </c>
      <c r="AU270" s="175">
        <v>5145.98</v>
      </c>
      <c r="AV270" s="175">
        <v>0.23941018037380637</v>
      </c>
      <c r="AW270" s="175">
        <v>75.81349344699379</v>
      </c>
      <c r="AX270" s="175">
        <v>77</v>
      </c>
      <c r="AY270" s="175">
        <v>359</v>
      </c>
      <c r="AZ270" s="175">
        <v>0.21448467966573817</v>
      </c>
      <c r="BA270" s="175">
        <v>0.15330084358150367</v>
      </c>
      <c r="BB270" s="175">
        <v>1.94675</v>
      </c>
      <c r="BC270" s="207">
        <v>481</v>
      </c>
      <c r="BD270" s="175">
        <v>501</v>
      </c>
      <c r="BE270" s="175">
        <v>0.9600798403193613</v>
      </c>
      <c r="BF270" s="175">
        <v>0.5511729577282682</v>
      </c>
      <c r="BG270" s="175">
        <v>1</v>
      </c>
      <c r="BH270" s="175">
        <v>530</v>
      </c>
      <c r="BI270" s="207">
        <v>0</v>
      </c>
      <c r="BJ270" s="207">
        <v>-295.68</v>
      </c>
      <c r="BK270" s="207">
        <v>-5051.2</v>
      </c>
      <c r="BL270" s="207">
        <v>-344.96000000000004</v>
      </c>
      <c r="BM270" s="207">
        <v>0</v>
      </c>
      <c r="BN270" s="207">
        <v>0</v>
      </c>
      <c r="BO270" s="207">
        <v>32233</v>
      </c>
      <c r="BP270" s="207">
        <v>-4677.901082857305</v>
      </c>
      <c r="BQ270" s="207">
        <v>-52433.920000000006</v>
      </c>
      <c r="BR270" s="207">
        <v>295977.30180672323</v>
      </c>
      <c r="BS270" s="207">
        <v>114134</v>
      </c>
      <c r="BT270" s="207">
        <v>37115</v>
      </c>
      <c r="BU270" s="207">
        <v>107131.66346656052</v>
      </c>
      <c r="BV270" s="207">
        <v>5615.056836758378</v>
      </c>
      <c r="BW270" s="207">
        <v>13408.48778940565</v>
      </c>
      <c r="BX270" s="207">
        <v>38983.78110031201</v>
      </c>
      <c r="BY270" s="207">
        <v>70506.5568337633</v>
      </c>
      <c r="BZ270" s="207">
        <v>98486.0367708824</v>
      </c>
      <c r="CA270" s="207">
        <v>37722.66417145874</v>
      </c>
      <c r="CB270" s="207">
        <v>57139.295304500825</v>
      </c>
      <c r="CC270" s="207">
        <v>110.88</v>
      </c>
      <c r="CD270" s="207">
        <v>10935.00820648672</v>
      </c>
      <c r="CE270" s="207">
        <v>403092.7579176647</v>
      </c>
      <c r="CF270" s="207">
        <v>264287.0168348074</v>
      </c>
      <c r="CG270" s="207">
        <v>62616.88790445479</v>
      </c>
      <c r="CH270" s="207">
        <v>82168.00311118165</v>
      </c>
      <c r="CI270" s="207">
        <v>0</v>
      </c>
      <c r="CJ270" s="207">
        <v>832101.26984088</v>
      </c>
      <c r="CK270" s="207">
        <v>236280</v>
      </c>
      <c r="CL270" s="207">
        <v>49082.4</v>
      </c>
      <c r="CM270" s="207">
        <v>21814.4</v>
      </c>
      <c r="CN270" s="207">
        <v>27268</v>
      </c>
      <c r="CO270" s="207">
        <v>7004720.902232274</v>
      </c>
      <c r="CP270" s="207">
        <v>7214929.567482982</v>
      </c>
      <c r="CQ270" s="207">
        <v>1242</v>
      </c>
    </row>
    <row r="271" spans="1:95" ht="11.25">
      <c r="A271" s="207">
        <v>892</v>
      </c>
      <c r="B271" s="207" t="s">
        <v>327</v>
      </c>
      <c r="C271" s="207">
        <v>3783</v>
      </c>
      <c r="D271" s="207">
        <v>15214515.69</v>
      </c>
      <c r="E271" s="207">
        <v>3856288.248015314</v>
      </c>
      <c r="F271" s="207">
        <v>691006.2910550087</v>
      </c>
      <c r="G271" s="207">
        <v>19761810.22907032</v>
      </c>
      <c r="H271" s="207">
        <v>3664.46</v>
      </c>
      <c r="I271" s="207">
        <v>13862652.18</v>
      </c>
      <c r="J271" s="207">
        <v>5899158.049070321</v>
      </c>
      <c r="K271" s="207">
        <v>47394.939770512785</v>
      </c>
      <c r="L271" s="207">
        <v>-154832.9915560867</v>
      </c>
      <c r="M271" s="207">
        <v>0</v>
      </c>
      <c r="N271" s="207">
        <v>5791719.997284748</v>
      </c>
      <c r="O271" s="207">
        <v>3528015.4530308247</v>
      </c>
      <c r="P271" s="207">
        <v>9319735.450315572</v>
      </c>
      <c r="Q271" s="207">
        <v>358</v>
      </c>
      <c r="R271" s="207">
        <v>77</v>
      </c>
      <c r="S271" s="207">
        <v>427</v>
      </c>
      <c r="T271" s="207">
        <v>171</v>
      </c>
      <c r="U271" s="207">
        <v>128</v>
      </c>
      <c r="V271" s="207">
        <v>1894</v>
      </c>
      <c r="W271" s="207">
        <v>439</v>
      </c>
      <c r="X271" s="207">
        <v>217</v>
      </c>
      <c r="Y271" s="207">
        <v>72</v>
      </c>
      <c r="Z271" s="207">
        <v>5</v>
      </c>
      <c r="AA271" s="207">
        <v>0</v>
      </c>
      <c r="AB271" s="207">
        <v>3736</v>
      </c>
      <c r="AC271" s="207">
        <v>42</v>
      </c>
      <c r="AD271" s="207">
        <v>728</v>
      </c>
      <c r="AE271" s="481">
        <v>0.8628152270213694</v>
      </c>
      <c r="AF271" s="207">
        <v>3856288.248015314</v>
      </c>
      <c r="AG271" s="207" t="e">
        <v>#DIV/0!</v>
      </c>
      <c r="AH271" s="207" t="e">
        <v>#DIV/0!</v>
      </c>
      <c r="AI271" s="207" t="e">
        <v>#DIV/0!</v>
      </c>
      <c r="AJ271" s="175">
        <v>147</v>
      </c>
      <c r="AK271" s="175">
        <v>1642</v>
      </c>
      <c r="AL271" s="175">
        <v>0.9176317270176982</v>
      </c>
      <c r="AM271" s="175">
        <v>42</v>
      </c>
      <c r="AN271" s="175">
        <v>0.011102299762093577</v>
      </c>
      <c r="AO271" s="175">
        <v>0.00782122065163058</v>
      </c>
      <c r="AP271" s="175">
        <v>0</v>
      </c>
      <c r="AQ271" s="175">
        <v>5</v>
      </c>
      <c r="AR271" s="175">
        <v>0</v>
      </c>
      <c r="AS271" s="175">
        <v>0</v>
      </c>
      <c r="AT271" s="175">
        <v>0</v>
      </c>
      <c r="AU271" s="175">
        <v>347.98</v>
      </c>
      <c r="AV271" s="175">
        <v>10.871314443358813</v>
      </c>
      <c r="AW271" s="175">
        <v>1.6695793535804826</v>
      </c>
      <c r="AX271" s="175">
        <v>119</v>
      </c>
      <c r="AY271" s="175">
        <v>1181</v>
      </c>
      <c r="AZ271" s="175">
        <v>0.10076206604572396</v>
      </c>
      <c r="BA271" s="175">
        <v>0.03957822996148947</v>
      </c>
      <c r="BB271" s="175">
        <v>0</v>
      </c>
      <c r="BC271" s="207">
        <v>839</v>
      </c>
      <c r="BD271" s="175">
        <v>1399</v>
      </c>
      <c r="BE271" s="175">
        <v>0.5997140814867763</v>
      </c>
      <c r="BF271" s="175">
        <v>0.1908071988956832</v>
      </c>
      <c r="BG271" s="175">
        <v>0</v>
      </c>
      <c r="BH271" s="175">
        <v>0</v>
      </c>
      <c r="BI271" s="207">
        <v>0</v>
      </c>
      <c r="BJ271" s="207">
        <v>-907.92</v>
      </c>
      <c r="BK271" s="207">
        <v>-15510.3</v>
      </c>
      <c r="BL271" s="207">
        <v>-1059.24</v>
      </c>
      <c r="BM271" s="207">
        <v>0</v>
      </c>
      <c r="BN271" s="207">
        <v>0</v>
      </c>
      <c r="BO271" s="207">
        <v>67444</v>
      </c>
      <c r="BP271" s="207">
        <v>-64119.49839662282</v>
      </c>
      <c r="BQ271" s="207">
        <v>-161004.48</v>
      </c>
      <c r="BR271" s="207">
        <v>63468.46938453615</v>
      </c>
      <c r="BS271" s="207">
        <v>285316</v>
      </c>
      <c r="BT271" s="207">
        <v>92849</v>
      </c>
      <c r="BU271" s="207">
        <v>221767.09672598483</v>
      </c>
      <c r="BV271" s="207">
        <v>8071.591759540226</v>
      </c>
      <c r="BW271" s="207">
        <v>27328.93024877923</v>
      </c>
      <c r="BX271" s="207">
        <v>100574.92665356949</v>
      </c>
      <c r="BY271" s="207">
        <v>184187.12894500932</v>
      </c>
      <c r="BZ271" s="207">
        <v>273073.42582165677</v>
      </c>
      <c r="CA271" s="207">
        <v>69107.0166599702</v>
      </c>
      <c r="CB271" s="207">
        <v>146158.3446623623</v>
      </c>
      <c r="CC271" s="207">
        <v>340.46999999999997</v>
      </c>
      <c r="CD271" s="207">
        <v>12574.74461285055</v>
      </c>
      <c r="CE271" s="207">
        <v>321141.71684053616</v>
      </c>
      <c r="CF271" s="207">
        <v>-154832.9915560867</v>
      </c>
      <c r="CG271" s="207">
        <v>173568.86284314946</v>
      </c>
      <c r="CH271" s="207">
        <v>203166.40091887172</v>
      </c>
      <c r="CI271" s="207">
        <v>0</v>
      </c>
      <c r="CJ271" s="207">
        <v>3528015.4530308247</v>
      </c>
      <c r="CK271" s="207">
        <v>-520395</v>
      </c>
      <c r="CL271" s="207">
        <v>81804</v>
      </c>
      <c r="CM271" s="207">
        <v>58926.148</v>
      </c>
      <c r="CN271" s="207">
        <v>22877.852</v>
      </c>
      <c r="CO271" s="207">
        <v>8799340.450315572</v>
      </c>
      <c r="CP271" s="207">
        <v>9132029.369699</v>
      </c>
      <c r="CQ271" s="207">
        <v>3747</v>
      </c>
    </row>
    <row r="272" spans="1:95" ht="11.25">
      <c r="A272" s="207">
        <v>893</v>
      </c>
      <c r="B272" s="207" t="s">
        <v>328</v>
      </c>
      <c r="C272" s="207">
        <v>7455</v>
      </c>
      <c r="D272" s="207">
        <v>28441005.909999996</v>
      </c>
      <c r="E272" s="207">
        <v>7509914.022928475</v>
      </c>
      <c r="F272" s="207">
        <v>3917126.9336975766</v>
      </c>
      <c r="G272" s="207">
        <v>39868046.86662605</v>
      </c>
      <c r="H272" s="207">
        <v>3664.46</v>
      </c>
      <c r="I272" s="207">
        <v>27318549.3</v>
      </c>
      <c r="J272" s="207">
        <v>12549497.566626046</v>
      </c>
      <c r="K272" s="207">
        <v>287420.6043701527</v>
      </c>
      <c r="L272" s="207">
        <v>-658988.7297433106</v>
      </c>
      <c r="M272" s="207">
        <v>0</v>
      </c>
      <c r="N272" s="207">
        <v>12177929.441252887</v>
      </c>
      <c r="O272" s="207">
        <v>4246204.940677042</v>
      </c>
      <c r="P272" s="207">
        <v>16424134.38192993</v>
      </c>
      <c r="Q272" s="207">
        <v>492</v>
      </c>
      <c r="R272" s="207">
        <v>106</v>
      </c>
      <c r="S272" s="207">
        <v>601</v>
      </c>
      <c r="T272" s="207">
        <v>231</v>
      </c>
      <c r="U272" s="207">
        <v>229</v>
      </c>
      <c r="V272" s="207">
        <v>3923</v>
      </c>
      <c r="W272" s="207">
        <v>1000</v>
      </c>
      <c r="X272" s="207">
        <v>600</v>
      </c>
      <c r="Y272" s="207">
        <v>273</v>
      </c>
      <c r="Z272" s="207">
        <v>6440</v>
      </c>
      <c r="AA272" s="207">
        <v>0</v>
      </c>
      <c r="AB272" s="207">
        <v>514</v>
      </c>
      <c r="AC272" s="207">
        <v>501</v>
      </c>
      <c r="AD272" s="207">
        <v>1873</v>
      </c>
      <c r="AE272" s="481">
        <v>0.8526523053201742</v>
      </c>
      <c r="AF272" s="207">
        <v>7509914.022928475</v>
      </c>
      <c r="AG272" s="207" t="e">
        <v>#DIV/0!</v>
      </c>
      <c r="AH272" s="207" t="e">
        <v>#DIV/0!</v>
      </c>
      <c r="AI272" s="207" t="e">
        <v>#DIV/0!</v>
      </c>
      <c r="AJ272" s="175">
        <v>132</v>
      </c>
      <c r="AK272" s="175">
        <v>3520</v>
      </c>
      <c r="AL272" s="175">
        <v>0.3843753305518011</v>
      </c>
      <c r="AM272" s="175">
        <v>501</v>
      </c>
      <c r="AN272" s="175">
        <v>0.06720321931589537</v>
      </c>
      <c r="AO272" s="175">
        <v>0.06392214020543238</v>
      </c>
      <c r="AP272" s="175">
        <v>3</v>
      </c>
      <c r="AQ272" s="175">
        <v>6440</v>
      </c>
      <c r="AR272" s="175">
        <v>0</v>
      </c>
      <c r="AS272" s="175">
        <v>0</v>
      </c>
      <c r="AT272" s="175">
        <v>0</v>
      </c>
      <c r="AU272" s="175">
        <v>732.66</v>
      </c>
      <c r="AV272" s="175">
        <v>10.17525182212759</v>
      </c>
      <c r="AW272" s="175">
        <v>1.783790952617229</v>
      </c>
      <c r="AX272" s="175">
        <v>373</v>
      </c>
      <c r="AY272" s="175">
        <v>2186</v>
      </c>
      <c r="AZ272" s="175">
        <v>0.1706312900274474</v>
      </c>
      <c r="BA272" s="175">
        <v>0.1094474539432129</v>
      </c>
      <c r="BB272" s="175">
        <v>0</v>
      </c>
      <c r="BC272" s="207">
        <v>3307</v>
      </c>
      <c r="BD272" s="175">
        <v>3320</v>
      </c>
      <c r="BE272" s="175">
        <v>0.9960843373493976</v>
      </c>
      <c r="BF272" s="175">
        <v>0.5871774547583045</v>
      </c>
      <c r="BG272" s="175">
        <v>0</v>
      </c>
      <c r="BH272" s="175">
        <v>0</v>
      </c>
      <c r="BI272" s="207">
        <v>0</v>
      </c>
      <c r="BJ272" s="207">
        <v>-1789.2</v>
      </c>
      <c r="BK272" s="207">
        <v>-30565.499999999996</v>
      </c>
      <c r="BL272" s="207">
        <v>-2087.4</v>
      </c>
      <c r="BM272" s="207">
        <v>0</v>
      </c>
      <c r="BN272" s="207">
        <v>0</v>
      </c>
      <c r="BO272" s="207">
        <v>-69710</v>
      </c>
      <c r="BP272" s="207">
        <v>-87815.26413968725</v>
      </c>
      <c r="BQ272" s="207">
        <v>-317284.8</v>
      </c>
      <c r="BR272" s="207">
        <v>113972.07233760692</v>
      </c>
      <c r="BS272" s="207">
        <v>659086</v>
      </c>
      <c r="BT272" s="207">
        <v>245210</v>
      </c>
      <c r="BU272" s="207">
        <v>624224.0978398636</v>
      </c>
      <c r="BV272" s="207">
        <v>31886.17452603681</v>
      </c>
      <c r="BW272" s="207">
        <v>51936.5584288604</v>
      </c>
      <c r="BX272" s="207">
        <v>220299.48727579231</v>
      </c>
      <c r="BY272" s="207">
        <v>462578.72966419393</v>
      </c>
      <c r="BZ272" s="207">
        <v>711571.955157124</v>
      </c>
      <c r="CA272" s="207">
        <v>227956.0897390783</v>
      </c>
      <c r="CB272" s="207">
        <v>371049.7601439036</v>
      </c>
      <c r="CC272" s="207">
        <v>670.9499999999999</v>
      </c>
      <c r="CD272" s="207">
        <v>-162023.92617344484</v>
      </c>
      <c r="CE272" s="207">
        <v>240452.38439637655</v>
      </c>
      <c r="CF272" s="207">
        <v>-658988.7297433106</v>
      </c>
      <c r="CG272" s="207">
        <v>350162.83823221445</v>
      </c>
      <c r="CH272" s="207">
        <v>541059.4532060002</v>
      </c>
      <c r="CI272" s="207">
        <v>0</v>
      </c>
      <c r="CJ272" s="207">
        <v>4246204.940677042</v>
      </c>
      <c r="CK272" s="207">
        <v>-395594</v>
      </c>
      <c r="CL272" s="207">
        <v>31358.2</v>
      </c>
      <c r="CM272" s="207">
        <v>128159.6</v>
      </c>
      <c r="CN272" s="207">
        <v>-96801.40000000001</v>
      </c>
      <c r="CO272" s="207">
        <v>16028540.38192993</v>
      </c>
      <c r="CP272" s="207">
        <v>18505421.013602205</v>
      </c>
      <c r="CQ272" s="207">
        <v>7521</v>
      </c>
    </row>
    <row r="273" spans="1:95" ht="11.25">
      <c r="A273" s="207">
        <v>895</v>
      </c>
      <c r="B273" s="207" t="s">
        <v>329</v>
      </c>
      <c r="C273" s="207">
        <v>15700</v>
      </c>
      <c r="D273" s="207">
        <v>53364789.410000004</v>
      </c>
      <c r="E273" s="207">
        <v>21652352.971775107</v>
      </c>
      <c r="F273" s="207">
        <v>3456796.1420934275</v>
      </c>
      <c r="G273" s="207">
        <v>78473938.52386853</v>
      </c>
      <c r="H273" s="207">
        <v>3664.46</v>
      </c>
      <c r="I273" s="207">
        <v>57532022</v>
      </c>
      <c r="J273" s="207">
        <v>20941916.52386853</v>
      </c>
      <c r="K273" s="207">
        <v>706758.9908998212</v>
      </c>
      <c r="L273" s="207">
        <v>-1574031.1235687714</v>
      </c>
      <c r="M273" s="207">
        <v>0</v>
      </c>
      <c r="N273" s="207">
        <v>20074644.39119958</v>
      </c>
      <c r="O273" s="207">
        <v>2199497.0982025797</v>
      </c>
      <c r="P273" s="207">
        <v>22274141.48940216</v>
      </c>
      <c r="Q273" s="207">
        <v>772</v>
      </c>
      <c r="R273" s="207">
        <v>145</v>
      </c>
      <c r="S273" s="207">
        <v>907</v>
      </c>
      <c r="T273" s="207">
        <v>454</v>
      </c>
      <c r="U273" s="207">
        <v>409</v>
      </c>
      <c r="V273" s="207">
        <v>8681</v>
      </c>
      <c r="W273" s="207">
        <v>2520</v>
      </c>
      <c r="X273" s="207">
        <v>1326</v>
      </c>
      <c r="Y273" s="207">
        <v>486</v>
      </c>
      <c r="Z273" s="207">
        <v>62</v>
      </c>
      <c r="AA273" s="207">
        <v>1</v>
      </c>
      <c r="AB273" s="207">
        <v>14857</v>
      </c>
      <c r="AC273" s="207">
        <v>780</v>
      </c>
      <c r="AD273" s="207">
        <v>4332</v>
      </c>
      <c r="AE273" s="481">
        <v>1.167320464288329</v>
      </c>
      <c r="AF273" s="207">
        <v>21652352.971775107</v>
      </c>
      <c r="AG273" s="207" t="e">
        <v>#DIV/0!</v>
      </c>
      <c r="AH273" s="207" t="e">
        <v>#DIV/0!</v>
      </c>
      <c r="AI273" s="207" t="e">
        <v>#DIV/0!</v>
      </c>
      <c r="AJ273" s="175">
        <v>428</v>
      </c>
      <c r="AK273" s="175">
        <v>7032</v>
      </c>
      <c r="AL273" s="175">
        <v>0.6238628800764918</v>
      </c>
      <c r="AM273" s="175">
        <v>780</v>
      </c>
      <c r="AN273" s="175">
        <v>0.049681528662420385</v>
      </c>
      <c r="AO273" s="175">
        <v>0.046400449551957386</v>
      </c>
      <c r="AP273" s="175">
        <v>0</v>
      </c>
      <c r="AQ273" s="175">
        <v>62</v>
      </c>
      <c r="AR273" s="175">
        <v>1</v>
      </c>
      <c r="AS273" s="175">
        <v>3</v>
      </c>
      <c r="AT273" s="175">
        <v>692</v>
      </c>
      <c r="AU273" s="175">
        <v>502.75</v>
      </c>
      <c r="AV273" s="175">
        <v>31.228244654400797</v>
      </c>
      <c r="AW273" s="175">
        <v>0.5812213379837005</v>
      </c>
      <c r="AX273" s="175">
        <v>657</v>
      </c>
      <c r="AY273" s="175">
        <v>4473</v>
      </c>
      <c r="AZ273" s="175">
        <v>0.14688128772635814</v>
      </c>
      <c r="BA273" s="175">
        <v>0.08569745164212364</v>
      </c>
      <c r="BB273" s="175">
        <v>0</v>
      </c>
      <c r="BC273" s="207">
        <v>6914</v>
      </c>
      <c r="BD273" s="175">
        <v>6317</v>
      </c>
      <c r="BE273" s="175">
        <v>1.0945068861801488</v>
      </c>
      <c r="BF273" s="175">
        <v>0.6856000035890557</v>
      </c>
      <c r="BG273" s="175">
        <v>0</v>
      </c>
      <c r="BH273" s="175">
        <v>1</v>
      </c>
      <c r="BI273" s="207">
        <v>0</v>
      </c>
      <c r="BJ273" s="207">
        <v>-3768</v>
      </c>
      <c r="BK273" s="207">
        <v>-64369.99999999999</v>
      </c>
      <c r="BL273" s="207">
        <v>-4396</v>
      </c>
      <c r="BM273" s="207">
        <v>0</v>
      </c>
      <c r="BN273" s="207">
        <v>0</v>
      </c>
      <c r="BO273" s="207">
        <v>166575</v>
      </c>
      <c r="BP273" s="207">
        <v>-519028.06172096997</v>
      </c>
      <c r="BQ273" s="207">
        <v>-668192</v>
      </c>
      <c r="BR273" s="207">
        <v>-127042.48566932231</v>
      </c>
      <c r="BS273" s="207">
        <v>1109415</v>
      </c>
      <c r="BT273" s="207">
        <v>399076</v>
      </c>
      <c r="BU273" s="207">
        <v>905475.307138261</v>
      </c>
      <c r="BV273" s="207">
        <v>41384.80129070485</v>
      </c>
      <c r="BW273" s="207">
        <v>80168.54506648163</v>
      </c>
      <c r="BX273" s="207">
        <v>432683.95358545834</v>
      </c>
      <c r="BY273" s="207">
        <v>714318.2047305912</v>
      </c>
      <c r="BZ273" s="207">
        <v>1333112.8678891251</v>
      </c>
      <c r="CA273" s="207">
        <v>405710.0888038961</v>
      </c>
      <c r="CB273" s="207">
        <v>650287.3567031103</v>
      </c>
      <c r="CC273" s="207">
        <v>1413</v>
      </c>
      <c r="CD273" s="207">
        <v>-91472.68700469522</v>
      </c>
      <c r="CE273" s="207">
        <v>654255.9381521987</v>
      </c>
      <c r="CF273" s="207">
        <v>-1574031.1235687714</v>
      </c>
      <c r="CG273" s="207">
        <v>689240.1108262162</v>
      </c>
      <c r="CH273" s="207">
        <v>926559.0940629408</v>
      </c>
      <c r="CI273" s="207">
        <v>0</v>
      </c>
      <c r="CJ273" s="207">
        <v>2199497.0982025797</v>
      </c>
      <c r="CK273" s="207">
        <v>-1548122</v>
      </c>
      <c r="CL273" s="207">
        <v>229051.2</v>
      </c>
      <c r="CM273" s="207">
        <v>64147.97</v>
      </c>
      <c r="CN273" s="207">
        <v>164903.23</v>
      </c>
      <c r="CO273" s="207">
        <v>20726019.48940216</v>
      </c>
      <c r="CP273" s="207">
        <v>23114623.144189674</v>
      </c>
      <c r="CQ273" s="207">
        <v>15752</v>
      </c>
    </row>
    <row r="274" spans="1:95" ht="11.25">
      <c r="A274" s="207">
        <v>785</v>
      </c>
      <c r="B274" s="207" t="s">
        <v>330</v>
      </c>
      <c r="C274" s="207">
        <v>2869</v>
      </c>
      <c r="D274" s="207">
        <v>10907129.04</v>
      </c>
      <c r="E274" s="207">
        <v>5737859.692502432</v>
      </c>
      <c r="F274" s="207">
        <v>1444969.8415759872</v>
      </c>
      <c r="G274" s="207">
        <v>18089958.57407842</v>
      </c>
      <c r="H274" s="207">
        <v>3664.46</v>
      </c>
      <c r="I274" s="207">
        <v>10513335.74</v>
      </c>
      <c r="J274" s="207">
        <v>7576622.834078418</v>
      </c>
      <c r="K274" s="207">
        <v>1448560.403251156</v>
      </c>
      <c r="L274" s="207">
        <v>-198135.86931441573</v>
      </c>
      <c r="M274" s="207">
        <v>0</v>
      </c>
      <c r="N274" s="207">
        <v>8827047.368015159</v>
      </c>
      <c r="O274" s="207">
        <v>2747871.0036802716</v>
      </c>
      <c r="P274" s="207">
        <v>11574918.371695431</v>
      </c>
      <c r="Q274" s="207">
        <v>117</v>
      </c>
      <c r="R274" s="207">
        <v>19</v>
      </c>
      <c r="S274" s="207">
        <v>148</v>
      </c>
      <c r="T274" s="207">
        <v>94</v>
      </c>
      <c r="U274" s="207">
        <v>94</v>
      </c>
      <c r="V274" s="207">
        <v>1386</v>
      </c>
      <c r="W274" s="207">
        <v>541</v>
      </c>
      <c r="X274" s="207">
        <v>338</v>
      </c>
      <c r="Y274" s="207">
        <v>132</v>
      </c>
      <c r="Z274" s="207">
        <v>1</v>
      </c>
      <c r="AA274" s="207">
        <v>0</v>
      </c>
      <c r="AB274" s="207">
        <v>2842</v>
      </c>
      <c r="AC274" s="207">
        <v>26</v>
      </c>
      <c r="AD274" s="207">
        <v>1011</v>
      </c>
      <c r="AE274" s="481">
        <v>1.6927936817725935</v>
      </c>
      <c r="AF274" s="207">
        <v>5737859.692502432</v>
      </c>
      <c r="AG274" s="207" t="e">
        <v>#DIV/0!</v>
      </c>
      <c r="AH274" s="207" t="e">
        <v>#DIV/0!</v>
      </c>
      <c r="AI274" s="207" t="e">
        <v>#DIV/0!</v>
      </c>
      <c r="AJ274" s="175">
        <v>159</v>
      </c>
      <c r="AK274" s="175">
        <v>1152</v>
      </c>
      <c r="AL274" s="175">
        <v>1.414714758280935</v>
      </c>
      <c r="AM274" s="175">
        <v>26</v>
      </c>
      <c r="AN274" s="175">
        <v>0.009062391077030324</v>
      </c>
      <c r="AO274" s="175">
        <v>0.005781311966567328</v>
      </c>
      <c r="AP274" s="175">
        <v>0</v>
      </c>
      <c r="AQ274" s="175">
        <v>1</v>
      </c>
      <c r="AR274" s="175">
        <v>0</v>
      </c>
      <c r="AS274" s="175">
        <v>3</v>
      </c>
      <c r="AT274" s="175">
        <v>89</v>
      </c>
      <c r="AU274" s="175">
        <v>1302.72</v>
      </c>
      <c r="AV274" s="175">
        <v>2.2023151559813314</v>
      </c>
      <c r="AW274" s="175">
        <v>8.241564379020707</v>
      </c>
      <c r="AX274" s="175">
        <v>81</v>
      </c>
      <c r="AY274" s="175">
        <v>676</v>
      </c>
      <c r="AZ274" s="175">
        <v>0.11982248520710059</v>
      </c>
      <c r="BA274" s="175">
        <v>0.0586386491228661</v>
      </c>
      <c r="BB274" s="175">
        <v>1.445366</v>
      </c>
      <c r="BC274" s="207">
        <v>901</v>
      </c>
      <c r="BD274" s="175">
        <v>943</v>
      </c>
      <c r="BE274" s="175">
        <v>0.9554612937433722</v>
      </c>
      <c r="BF274" s="175">
        <v>0.5465544111522791</v>
      </c>
      <c r="BG274" s="175">
        <v>0</v>
      </c>
      <c r="BH274" s="175">
        <v>0</v>
      </c>
      <c r="BI274" s="207">
        <v>0</v>
      </c>
      <c r="BJ274" s="207">
        <v>-688.56</v>
      </c>
      <c r="BK274" s="207">
        <v>-11762.9</v>
      </c>
      <c r="BL274" s="207">
        <v>-803.32</v>
      </c>
      <c r="BM274" s="207">
        <v>0</v>
      </c>
      <c r="BN274" s="207">
        <v>0</v>
      </c>
      <c r="BO274" s="207">
        <v>87467</v>
      </c>
      <c r="BP274" s="207">
        <v>-64990.91589391994</v>
      </c>
      <c r="BQ274" s="207">
        <v>-122104.64</v>
      </c>
      <c r="BR274" s="207">
        <v>-70951.2395362258</v>
      </c>
      <c r="BS274" s="207">
        <v>310888</v>
      </c>
      <c r="BT274" s="207">
        <v>92189</v>
      </c>
      <c r="BU274" s="207">
        <v>250966.4378107918</v>
      </c>
      <c r="BV274" s="207">
        <v>15001.394378429974</v>
      </c>
      <c r="BW274" s="207">
        <v>44539.947269726195</v>
      </c>
      <c r="BX274" s="207">
        <v>126757.85397782503</v>
      </c>
      <c r="BY274" s="207">
        <v>154052.91971320764</v>
      </c>
      <c r="BZ274" s="207">
        <v>270595.83848855575</v>
      </c>
      <c r="CA274" s="207">
        <v>75512.61194520385</v>
      </c>
      <c r="CB274" s="207">
        <v>145181.5206986564</v>
      </c>
      <c r="CC274" s="207">
        <v>258.21</v>
      </c>
      <c r="CD274" s="207">
        <v>703.881111150291</v>
      </c>
      <c r="CE274" s="207">
        <v>179203.07657950424</v>
      </c>
      <c r="CF274" s="207">
        <v>-198135.86931441573</v>
      </c>
      <c r="CG274" s="207">
        <v>158884.91500457976</v>
      </c>
      <c r="CH274" s="207">
        <v>188590.4123705445</v>
      </c>
      <c r="CI274" s="207">
        <v>0</v>
      </c>
      <c r="CJ274" s="207">
        <v>2747871.0036802716</v>
      </c>
      <c r="CK274" s="207">
        <v>101155</v>
      </c>
      <c r="CL274" s="207">
        <v>43628.8</v>
      </c>
      <c r="CM274" s="207">
        <v>50445.8</v>
      </c>
      <c r="CN274" s="207">
        <v>-6817</v>
      </c>
      <c r="CO274" s="207">
        <v>11676073.371695431</v>
      </c>
      <c r="CP274" s="207">
        <v>12627789.489590589</v>
      </c>
      <c r="CQ274" s="207">
        <v>2941</v>
      </c>
    </row>
    <row r="275" spans="1:95" ht="11.25">
      <c r="A275" s="207">
        <v>905</v>
      </c>
      <c r="B275" s="207" t="s">
        <v>331</v>
      </c>
      <c r="C275" s="207">
        <v>67552</v>
      </c>
      <c r="D275" s="207">
        <v>227020914.54000002</v>
      </c>
      <c r="E275" s="207">
        <v>71754391.30434349</v>
      </c>
      <c r="F275" s="207">
        <v>24649698.06846059</v>
      </c>
      <c r="G275" s="207">
        <v>323425003.9128041</v>
      </c>
      <c r="H275" s="207">
        <v>3664.46</v>
      </c>
      <c r="I275" s="207">
        <v>247541601.92000002</v>
      </c>
      <c r="J275" s="207">
        <v>75883401.99280411</v>
      </c>
      <c r="K275" s="207">
        <v>3740914.3111463813</v>
      </c>
      <c r="L275" s="207">
        <v>-10221806.354420174</v>
      </c>
      <c r="M275" s="207">
        <v>0</v>
      </c>
      <c r="N275" s="207">
        <v>69402509.94953032</v>
      </c>
      <c r="O275" s="207">
        <v>3605560.595203436</v>
      </c>
      <c r="P275" s="207">
        <v>73008070.54473375</v>
      </c>
      <c r="Q275" s="207">
        <v>4032</v>
      </c>
      <c r="R275" s="207">
        <v>762</v>
      </c>
      <c r="S275" s="207">
        <v>4350</v>
      </c>
      <c r="T275" s="207">
        <v>2129</v>
      </c>
      <c r="U275" s="207">
        <v>2178</v>
      </c>
      <c r="V275" s="207">
        <v>40690</v>
      </c>
      <c r="W275" s="207">
        <v>7379</v>
      </c>
      <c r="X275" s="207">
        <v>4214</v>
      </c>
      <c r="Y275" s="207">
        <v>1818</v>
      </c>
      <c r="Z275" s="207">
        <v>15555</v>
      </c>
      <c r="AA275" s="207">
        <v>7</v>
      </c>
      <c r="AB275" s="207">
        <v>45981</v>
      </c>
      <c r="AC275" s="207">
        <v>6009</v>
      </c>
      <c r="AD275" s="207">
        <v>13411</v>
      </c>
      <c r="AE275" s="481">
        <v>0.8990729395444504</v>
      </c>
      <c r="AF275" s="207">
        <v>71754391.30434349</v>
      </c>
      <c r="AG275" s="207" t="e">
        <v>#DIV/0!</v>
      </c>
      <c r="AH275" s="207" t="e">
        <v>#DIV/0!</v>
      </c>
      <c r="AI275" s="207" t="e">
        <v>#DIV/0!</v>
      </c>
      <c r="AJ275" s="175">
        <v>2859</v>
      </c>
      <c r="AK275" s="175">
        <v>32910</v>
      </c>
      <c r="AL275" s="175">
        <v>0.8904519963922614</v>
      </c>
      <c r="AM275" s="175">
        <v>6009</v>
      </c>
      <c r="AN275" s="175">
        <v>0.08895369493131218</v>
      </c>
      <c r="AO275" s="175">
        <v>0.08567261582084919</v>
      </c>
      <c r="AP275" s="175">
        <v>1</v>
      </c>
      <c r="AQ275" s="175">
        <v>15555</v>
      </c>
      <c r="AR275" s="175">
        <v>7</v>
      </c>
      <c r="AS275" s="175">
        <v>0</v>
      </c>
      <c r="AT275" s="175">
        <v>0</v>
      </c>
      <c r="AU275" s="175">
        <v>364.67</v>
      </c>
      <c r="AV275" s="175">
        <v>185.24145117503497</v>
      </c>
      <c r="AW275" s="175">
        <v>0.09798304874950861</v>
      </c>
      <c r="AX275" s="175">
        <v>2700</v>
      </c>
      <c r="AY275" s="175">
        <v>20585</v>
      </c>
      <c r="AZ275" s="175">
        <v>0.1311634685450571</v>
      </c>
      <c r="BA275" s="175">
        <v>0.06997963246082259</v>
      </c>
      <c r="BB275" s="175">
        <v>0</v>
      </c>
      <c r="BC275" s="207">
        <v>36217</v>
      </c>
      <c r="BD275" s="175">
        <v>28920</v>
      </c>
      <c r="BE275" s="175">
        <v>1.2523167358229599</v>
      </c>
      <c r="BF275" s="175">
        <v>0.8434098532318668</v>
      </c>
      <c r="BG275" s="175">
        <v>0</v>
      </c>
      <c r="BH275" s="175">
        <v>7</v>
      </c>
      <c r="BI275" s="207">
        <v>0</v>
      </c>
      <c r="BJ275" s="207">
        <v>-16212.48</v>
      </c>
      <c r="BK275" s="207">
        <v>-276963.19999999995</v>
      </c>
      <c r="BL275" s="207">
        <v>-18914.56</v>
      </c>
      <c r="BM275" s="207">
        <v>0</v>
      </c>
      <c r="BN275" s="207">
        <v>0</v>
      </c>
      <c r="BO275" s="207">
        <v>-766334</v>
      </c>
      <c r="BP275" s="207">
        <v>-4448158.334986984</v>
      </c>
      <c r="BQ275" s="207">
        <v>-2875013.12</v>
      </c>
      <c r="BR275" s="207">
        <v>274345.0710465126</v>
      </c>
      <c r="BS275" s="207">
        <v>4274447</v>
      </c>
      <c r="BT275" s="207">
        <v>1565331</v>
      </c>
      <c r="BU275" s="207">
        <v>3626619.6572058755</v>
      </c>
      <c r="BV275" s="207">
        <v>138381.79957621533</v>
      </c>
      <c r="BW275" s="207">
        <v>123045.09646081526</v>
      </c>
      <c r="BX275" s="207">
        <v>1613817.4548447337</v>
      </c>
      <c r="BY275" s="207">
        <v>3371237.1497896183</v>
      </c>
      <c r="BZ275" s="207">
        <v>4725068.448890915</v>
      </c>
      <c r="CA275" s="207">
        <v>1837727.4642141988</v>
      </c>
      <c r="CB275" s="207">
        <v>2936288.512976931</v>
      </c>
      <c r="CC275" s="207">
        <v>6079.679999999999</v>
      </c>
      <c r="CD275" s="207">
        <v>-840885.2810073787</v>
      </c>
      <c r="CE275" s="207">
        <v>1580738.22056681</v>
      </c>
      <c r="CF275" s="207">
        <v>-10221806.354420174</v>
      </c>
      <c r="CG275" s="207">
        <v>2840656.270527676</v>
      </c>
      <c r="CH275" s="207">
        <v>4189217.1767064775</v>
      </c>
      <c r="CI275" s="207">
        <v>0</v>
      </c>
      <c r="CJ275" s="207">
        <v>3605560.595203436</v>
      </c>
      <c r="CK275" s="207">
        <v>24166508</v>
      </c>
      <c r="CL275" s="207">
        <v>1292571.3699999996</v>
      </c>
      <c r="CM275" s="207">
        <v>6081895.6219999995</v>
      </c>
      <c r="CN275" s="207">
        <v>-4789324.252</v>
      </c>
      <c r="CO275" s="207">
        <v>97174578.54473375</v>
      </c>
      <c r="CP275" s="207">
        <v>107291932.40222897</v>
      </c>
      <c r="CQ275" s="207">
        <v>67392</v>
      </c>
    </row>
    <row r="276" spans="1:95" ht="11.25">
      <c r="A276" s="207">
        <v>908</v>
      </c>
      <c r="B276" s="207" t="s">
        <v>332</v>
      </c>
      <c r="C276" s="207">
        <v>21137</v>
      </c>
      <c r="D276" s="207">
        <v>77336123.18</v>
      </c>
      <c r="E276" s="207">
        <v>26339042.838043433</v>
      </c>
      <c r="F276" s="207">
        <v>3614589.901879395</v>
      </c>
      <c r="G276" s="207">
        <v>107289755.91992284</v>
      </c>
      <c r="H276" s="207">
        <v>3664.46</v>
      </c>
      <c r="I276" s="207">
        <v>77455691.02</v>
      </c>
      <c r="J276" s="207">
        <v>29834064.899922848</v>
      </c>
      <c r="K276" s="207">
        <v>623821.0432951914</v>
      </c>
      <c r="L276" s="207">
        <v>-1428374.7295391203</v>
      </c>
      <c r="M276" s="207">
        <v>0</v>
      </c>
      <c r="N276" s="207">
        <v>29029511.21367892</v>
      </c>
      <c r="O276" s="207">
        <v>4466091.33127827</v>
      </c>
      <c r="P276" s="207">
        <v>33495602.54495719</v>
      </c>
      <c r="Q276" s="207">
        <v>1143</v>
      </c>
      <c r="R276" s="207">
        <v>267</v>
      </c>
      <c r="S276" s="207">
        <v>1518</v>
      </c>
      <c r="T276" s="207">
        <v>726</v>
      </c>
      <c r="U276" s="207">
        <v>698</v>
      </c>
      <c r="V276" s="207">
        <v>11196</v>
      </c>
      <c r="W276" s="207">
        <v>3246</v>
      </c>
      <c r="X276" s="207">
        <v>1621</v>
      </c>
      <c r="Y276" s="207">
        <v>722</v>
      </c>
      <c r="Z276" s="207">
        <v>43</v>
      </c>
      <c r="AA276" s="207">
        <v>1</v>
      </c>
      <c r="AB276" s="207">
        <v>20367</v>
      </c>
      <c r="AC276" s="207">
        <v>726</v>
      </c>
      <c r="AD276" s="207">
        <v>5589</v>
      </c>
      <c r="AE276" s="481">
        <v>1.054729989413431</v>
      </c>
      <c r="AF276" s="207">
        <v>26339042.838043433</v>
      </c>
      <c r="AG276" s="207" t="e">
        <v>#DIV/0!</v>
      </c>
      <c r="AH276" s="207" t="e">
        <v>#DIV/0!</v>
      </c>
      <c r="AI276" s="207" t="e">
        <v>#DIV/0!</v>
      </c>
      <c r="AJ276" s="175">
        <v>833</v>
      </c>
      <c r="AK276" s="175">
        <v>9294</v>
      </c>
      <c r="AL276" s="175">
        <v>0.9186848873098067</v>
      </c>
      <c r="AM276" s="175">
        <v>726</v>
      </c>
      <c r="AN276" s="175">
        <v>0.034347352982920944</v>
      </c>
      <c r="AO276" s="175">
        <v>0.031066273872457948</v>
      </c>
      <c r="AP276" s="175">
        <v>0</v>
      </c>
      <c r="AQ276" s="175">
        <v>43</v>
      </c>
      <c r="AR276" s="175">
        <v>1</v>
      </c>
      <c r="AS276" s="175">
        <v>0</v>
      </c>
      <c r="AT276" s="175">
        <v>0</v>
      </c>
      <c r="AU276" s="175">
        <v>272.04</v>
      </c>
      <c r="AV276" s="175">
        <v>77.69813262755477</v>
      </c>
      <c r="AW276" s="175">
        <v>0.23360306775862322</v>
      </c>
      <c r="AX276" s="175">
        <v>640</v>
      </c>
      <c r="AY276" s="175">
        <v>6437</v>
      </c>
      <c r="AZ276" s="175">
        <v>0.09942519807363678</v>
      </c>
      <c r="BA276" s="175">
        <v>0.03824136198940229</v>
      </c>
      <c r="BB276" s="175">
        <v>0</v>
      </c>
      <c r="BC276" s="207">
        <v>6771</v>
      </c>
      <c r="BD276" s="175">
        <v>7888</v>
      </c>
      <c r="BE276" s="175">
        <v>0.858392494929006</v>
      </c>
      <c r="BF276" s="175">
        <v>0.44948561233791295</v>
      </c>
      <c r="BG276" s="175">
        <v>0</v>
      </c>
      <c r="BH276" s="175">
        <v>1</v>
      </c>
      <c r="BI276" s="207">
        <v>0</v>
      </c>
      <c r="BJ276" s="207">
        <v>-5072.88</v>
      </c>
      <c r="BK276" s="207">
        <v>-86661.7</v>
      </c>
      <c r="BL276" s="207">
        <v>-5918.360000000001</v>
      </c>
      <c r="BM276" s="207">
        <v>0</v>
      </c>
      <c r="BN276" s="207">
        <v>0</v>
      </c>
      <c r="BO276" s="207">
        <v>606941</v>
      </c>
      <c r="BP276" s="207">
        <v>-842299.495054953</v>
      </c>
      <c r="BQ276" s="207">
        <v>-899590.7200000001</v>
      </c>
      <c r="BR276" s="207">
        <v>29654.960622604936</v>
      </c>
      <c r="BS276" s="207">
        <v>1300662</v>
      </c>
      <c r="BT276" s="207">
        <v>441444</v>
      </c>
      <c r="BU276" s="207">
        <v>804355.6399916415</v>
      </c>
      <c r="BV276" s="207">
        <v>27221.020783908443</v>
      </c>
      <c r="BW276" s="207">
        <v>143785.4359805037</v>
      </c>
      <c r="BX276" s="207">
        <v>492082.1333048082</v>
      </c>
      <c r="BY276" s="207">
        <v>907246.1630341989</v>
      </c>
      <c r="BZ276" s="207">
        <v>1486362.2494838221</v>
      </c>
      <c r="CA276" s="207">
        <v>409666.72623455676</v>
      </c>
      <c r="CB276" s="207">
        <v>765592.4018031876</v>
      </c>
      <c r="CC276" s="207">
        <v>1902.33</v>
      </c>
      <c r="CD276" s="207">
        <v>113355.31144835742</v>
      </c>
      <c r="CE276" s="207">
        <v>1715109.9555158329</v>
      </c>
      <c r="CF276" s="207">
        <v>-1428374.7295391203</v>
      </c>
      <c r="CG276" s="207">
        <v>942330.7234448701</v>
      </c>
      <c r="CH276" s="207">
        <v>987333.4261378207</v>
      </c>
      <c r="CI276" s="207">
        <v>0</v>
      </c>
      <c r="CJ276" s="207">
        <v>4466091.33127827</v>
      </c>
      <c r="CK276" s="207">
        <v>418497</v>
      </c>
      <c r="CL276" s="207">
        <v>326193.45</v>
      </c>
      <c r="CM276" s="207">
        <v>528331.1340000001</v>
      </c>
      <c r="CN276" s="207">
        <v>-202137.68400000007</v>
      </c>
      <c r="CO276" s="207">
        <v>33914099.54495719</v>
      </c>
      <c r="CP276" s="207">
        <v>37223587.08795264</v>
      </c>
      <c r="CQ276" s="207">
        <v>21136</v>
      </c>
    </row>
    <row r="277" spans="1:95" ht="11.25">
      <c r="A277" s="207">
        <v>911</v>
      </c>
      <c r="B277" s="207" t="s">
        <v>333</v>
      </c>
      <c r="C277" s="207">
        <v>2143</v>
      </c>
      <c r="D277" s="207">
        <v>8156740.669999999</v>
      </c>
      <c r="E277" s="207">
        <v>4731513.587470022</v>
      </c>
      <c r="F277" s="207">
        <v>918191.281041878</v>
      </c>
      <c r="G277" s="207">
        <v>13806445.538511898</v>
      </c>
      <c r="H277" s="207">
        <v>3664.46</v>
      </c>
      <c r="I277" s="207">
        <v>7852937.78</v>
      </c>
      <c r="J277" s="207">
        <v>5953507.758511898</v>
      </c>
      <c r="K277" s="207">
        <v>828286.1376900078</v>
      </c>
      <c r="L277" s="207">
        <v>141989.05371439605</v>
      </c>
      <c r="M277" s="207">
        <v>0</v>
      </c>
      <c r="N277" s="207">
        <v>6923782.949916302</v>
      </c>
      <c r="O277" s="207">
        <v>2136484.142618468</v>
      </c>
      <c r="P277" s="207">
        <v>9060267.09253477</v>
      </c>
      <c r="Q277" s="207">
        <v>82</v>
      </c>
      <c r="R277" s="207">
        <v>16</v>
      </c>
      <c r="S277" s="207">
        <v>118</v>
      </c>
      <c r="T277" s="207">
        <v>54</v>
      </c>
      <c r="U277" s="207">
        <v>58</v>
      </c>
      <c r="V277" s="207">
        <v>1058</v>
      </c>
      <c r="W277" s="207">
        <v>424</v>
      </c>
      <c r="X277" s="207">
        <v>214</v>
      </c>
      <c r="Y277" s="207">
        <v>119</v>
      </c>
      <c r="Z277" s="207">
        <v>1</v>
      </c>
      <c r="AA277" s="207">
        <v>0</v>
      </c>
      <c r="AB277" s="207">
        <v>2128</v>
      </c>
      <c r="AC277" s="207">
        <v>14</v>
      </c>
      <c r="AD277" s="207">
        <v>757</v>
      </c>
      <c r="AE277" s="481">
        <v>1.8687989177033213</v>
      </c>
      <c r="AF277" s="207">
        <v>4731513.587470022</v>
      </c>
      <c r="AG277" s="207" t="e">
        <v>#DIV/0!</v>
      </c>
      <c r="AH277" s="207" t="e">
        <v>#DIV/0!</v>
      </c>
      <c r="AI277" s="207" t="e">
        <v>#DIV/0!</v>
      </c>
      <c r="AJ277" s="175">
        <v>115</v>
      </c>
      <c r="AK277" s="175">
        <v>887</v>
      </c>
      <c r="AL277" s="175">
        <v>1.328918842944972</v>
      </c>
      <c r="AM277" s="175">
        <v>14</v>
      </c>
      <c r="AN277" s="175">
        <v>0.006532897806812879</v>
      </c>
      <c r="AO277" s="175">
        <v>0.0032518186963498823</v>
      </c>
      <c r="AP277" s="175">
        <v>0</v>
      </c>
      <c r="AQ277" s="175">
        <v>1</v>
      </c>
      <c r="AR277" s="175">
        <v>0</v>
      </c>
      <c r="AS277" s="175">
        <v>0</v>
      </c>
      <c r="AT277" s="175">
        <v>0</v>
      </c>
      <c r="AU277" s="175">
        <v>800.32</v>
      </c>
      <c r="AV277" s="175">
        <v>2.6776789284286284</v>
      </c>
      <c r="AW277" s="175">
        <v>6.7784535136797155</v>
      </c>
      <c r="AX277" s="175">
        <v>68</v>
      </c>
      <c r="AY277" s="175">
        <v>514</v>
      </c>
      <c r="AZ277" s="175">
        <v>0.13229571984435798</v>
      </c>
      <c r="BA277" s="175">
        <v>0.07111188376012348</v>
      </c>
      <c r="BB277" s="175">
        <v>1.102483</v>
      </c>
      <c r="BC277" s="207">
        <v>625</v>
      </c>
      <c r="BD277" s="175">
        <v>738</v>
      </c>
      <c r="BE277" s="175">
        <v>0.8468834688346883</v>
      </c>
      <c r="BF277" s="175">
        <v>0.43797658624359526</v>
      </c>
      <c r="BG277" s="175">
        <v>0</v>
      </c>
      <c r="BH277" s="175">
        <v>0</v>
      </c>
      <c r="BI277" s="207">
        <v>0</v>
      </c>
      <c r="BJ277" s="207">
        <v>-514.3199999999999</v>
      </c>
      <c r="BK277" s="207">
        <v>-8786.3</v>
      </c>
      <c r="BL277" s="207">
        <v>-600.0400000000001</v>
      </c>
      <c r="BM277" s="207">
        <v>0</v>
      </c>
      <c r="BN277" s="207">
        <v>0</v>
      </c>
      <c r="BO277" s="207">
        <v>189818</v>
      </c>
      <c r="BP277" s="207">
        <v>-22998.28261641717</v>
      </c>
      <c r="BQ277" s="207">
        <v>-91206.08</v>
      </c>
      <c r="BR277" s="207">
        <v>96380.14033571817</v>
      </c>
      <c r="BS277" s="207">
        <v>238421</v>
      </c>
      <c r="BT277" s="207">
        <v>73261</v>
      </c>
      <c r="BU277" s="207">
        <v>199069.2625320524</v>
      </c>
      <c r="BV277" s="207">
        <v>12189.992792026218</v>
      </c>
      <c r="BW277" s="207">
        <v>21380.662376640852</v>
      </c>
      <c r="BX277" s="207">
        <v>101836.40632784022</v>
      </c>
      <c r="BY277" s="207">
        <v>121481.66735531342</v>
      </c>
      <c r="BZ277" s="207">
        <v>216660.2640097254</v>
      </c>
      <c r="CA277" s="207">
        <v>68195.66622583904</v>
      </c>
      <c r="CB277" s="207">
        <v>113362.08532331562</v>
      </c>
      <c r="CC277" s="207">
        <v>192.87</v>
      </c>
      <c r="CD277" s="207">
        <v>-11479.462491248822</v>
      </c>
      <c r="CE277" s="207">
        <v>398295.7463308132</v>
      </c>
      <c r="CF277" s="207">
        <v>141989.05371439605</v>
      </c>
      <c r="CG277" s="207">
        <v>121262.62848634388</v>
      </c>
      <c r="CH277" s="207">
        <v>0</v>
      </c>
      <c r="CI277" s="207">
        <v>0</v>
      </c>
      <c r="CJ277" s="207">
        <v>2136484.142618468</v>
      </c>
      <c r="CK277" s="207">
        <v>-483900</v>
      </c>
      <c r="CL277" s="207">
        <v>26040.94</v>
      </c>
      <c r="CM277" s="207">
        <v>20451</v>
      </c>
      <c r="CN277" s="207">
        <v>5589.939999999999</v>
      </c>
      <c r="CO277" s="207">
        <v>8576367.09253477</v>
      </c>
      <c r="CP277" s="207">
        <v>9357030.040401945</v>
      </c>
      <c r="CQ277" s="207">
        <v>2218</v>
      </c>
    </row>
    <row r="278" spans="1:95" ht="11.25">
      <c r="A278" s="207">
        <v>92</v>
      </c>
      <c r="B278" s="207" t="s">
        <v>334</v>
      </c>
      <c r="C278" s="207">
        <v>228166</v>
      </c>
      <c r="D278" s="207">
        <v>721534249.9600002</v>
      </c>
      <c r="E278" s="207">
        <v>195152142.06720516</v>
      </c>
      <c r="F278" s="207">
        <v>124995866.19806366</v>
      </c>
      <c r="G278" s="207">
        <v>1041682258.225269</v>
      </c>
      <c r="H278" s="207">
        <v>3664.46</v>
      </c>
      <c r="I278" s="207">
        <v>836105180.36</v>
      </c>
      <c r="J278" s="207">
        <v>205577077.86526895</v>
      </c>
      <c r="K278" s="207">
        <v>9999943.815208925</v>
      </c>
      <c r="L278" s="207">
        <v>-44424642.39908094</v>
      </c>
      <c r="M278" s="207">
        <v>0</v>
      </c>
      <c r="N278" s="207">
        <v>171152379.28139693</v>
      </c>
      <c r="O278" s="207">
        <v>-38467506.01793309</v>
      </c>
      <c r="P278" s="207">
        <v>132684873.26346382</v>
      </c>
      <c r="Q278" s="207">
        <v>15905</v>
      </c>
      <c r="R278" s="207">
        <v>2666</v>
      </c>
      <c r="S278" s="207">
        <v>16345</v>
      </c>
      <c r="T278" s="207">
        <v>7545</v>
      </c>
      <c r="U278" s="207">
        <v>7372</v>
      </c>
      <c r="V278" s="207">
        <v>143389</v>
      </c>
      <c r="W278" s="207">
        <v>21543</v>
      </c>
      <c r="X278" s="207">
        <v>10344</v>
      </c>
      <c r="Y278" s="207">
        <v>3057</v>
      </c>
      <c r="Z278" s="207">
        <v>5559</v>
      </c>
      <c r="AA278" s="207">
        <v>21</v>
      </c>
      <c r="AB278" s="207">
        <v>179457</v>
      </c>
      <c r="AC278" s="207">
        <v>43129</v>
      </c>
      <c r="AD278" s="207">
        <v>34944</v>
      </c>
      <c r="AE278" s="481">
        <v>0.7239474574622637</v>
      </c>
      <c r="AF278" s="207">
        <v>195152142.06720516</v>
      </c>
      <c r="AG278" s="207" t="e">
        <v>#DIV/0!</v>
      </c>
      <c r="AH278" s="207" t="e">
        <v>#DIV/0!</v>
      </c>
      <c r="AI278" s="207" t="e">
        <v>#DIV/0!</v>
      </c>
      <c r="AJ278" s="175">
        <v>10478</v>
      </c>
      <c r="AK278" s="175">
        <v>116592</v>
      </c>
      <c r="AL278" s="175">
        <v>0.9211574753034564</v>
      </c>
      <c r="AM278" s="175">
        <v>43129</v>
      </c>
      <c r="AN278" s="175">
        <v>0.18902465748621616</v>
      </c>
      <c r="AO278" s="175">
        <v>0.18574357837575317</v>
      </c>
      <c r="AP278" s="175">
        <v>1</v>
      </c>
      <c r="AQ278" s="175">
        <v>5559</v>
      </c>
      <c r="AR278" s="175">
        <v>21</v>
      </c>
      <c r="AS278" s="175">
        <v>0</v>
      </c>
      <c r="AT278" s="175">
        <v>0</v>
      </c>
      <c r="AU278" s="175">
        <v>238.37</v>
      </c>
      <c r="AV278" s="175">
        <v>957.1925997399002</v>
      </c>
      <c r="AW278" s="175">
        <v>0.018962246621887016</v>
      </c>
      <c r="AX278" s="175">
        <v>18171</v>
      </c>
      <c r="AY278" s="175">
        <v>80440</v>
      </c>
      <c r="AZ278" s="175">
        <v>0.22589507707608156</v>
      </c>
      <c r="BA278" s="175">
        <v>0.16471124099184706</v>
      </c>
      <c r="BB278" s="175">
        <v>0</v>
      </c>
      <c r="BC278" s="207">
        <v>110784</v>
      </c>
      <c r="BD278" s="175">
        <v>102921</v>
      </c>
      <c r="BE278" s="175">
        <v>1.0763984026583495</v>
      </c>
      <c r="BF278" s="175">
        <v>0.6674915200672564</v>
      </c>
      <c r="BG278" s="175">
        <v>0</v>
      </c>
      <c r="BH278" s="175">
        <v>21</v>
      </c>
      <c r="BI278" s="207">
        <v>0</v>
      </c>
      <c r="BJ278" s="207">
        <v>-54759.84</v>
      </c>
      <c r="BK278" s="207">
        <v>-935480.6</v>
      </c>
      <c r="BL278" s="207">
        <v>-63886.48</v>
      </c>
      <c r="BM278" s="207">
        <v>0</v>
      </c>
      <c r="BN278" s="207">
        <v>0</v>
      </c>
      <c r="BO278" s="207">
        <v>-3024032</v>
      </c>
      <c r="BP278" s="207">
        <v>-25285876.31496216</v>
      </c>
      <c r="BQ278" s="207">
        <v>-9710744.96</v>
      </c>
      <c r="BR278" s="207">
        <v>-133128.08959154785</v>
      </c>
      <c r="BS278" s="207">
        <v>10598953</v>
      </c>
      <c r="BT278" s="207">
        <v>4100799</v>
      </c>
      <c r="BU278" s="207">
        <v>9211292.593758624</v>
      </c>
      <c r="BV278" s="207">
        <v>227178.49044565213</v>
      </c>
      <c r="BW278" s="207">
        <v>82298.47186307986</v>
      </c>
      <c r="BX278" s="207">
        <v>3932399.72004996</v>
      </c>
      <c r="BY278" s="207">
        <v>9755745.8127085</v>
      </c>
      <c r="BZ278" s="207">
        <v>13693210.390970083</v>
      </c>
      <c r="CA278" s="207">
        <v>4847253.448079878</v>
      </c>
      <c r="CB278" s="207">
        <v>8400914.958768297</v>
      </c>
      <c r="CC278" s="207">
        <v>20534.94</v>
      </c>
      <c r="CD278" s="207">
        <v>-536734.7048054747</v>
      </c>
      <c r="CE278" s="207">
        <v>5701666.335881219</v>
      </c>
      <c r="CF278" s="207">
        <v>-44424642.39908094</v>
      </c>
      <c r="CG278" s="207">
        <v>9149141.850278242</v>
      </c>
      <c r="CH278" s="207">
        <v>11677218.951728314</v>
      </c>
      <c r="CI278" s="207">
        <v>0</v>
      </c>
      <c r="CJ278" s="207">
        <v>-38467506.01793309</v>
      </c>
      <c r="CK278" s="207">
        <v>15613972</v>
      </c>
      <c r="CL278" s="207">
        <v>3464808.42</v>
      </c>
      <c r="CM278" s="207">
        <v>9207379.686600003</v>
      </c>
      <c r="CN278" s="207">
        <v>-5742571.2666000035</v>
      </c>
      <c r="CO278" s="207">
        <v>148298845.26346382</v>
      </c>
      <c r="CP278" s="207">
        <v>172324700.40615034</v>
      </c>
      <c r="CQ278" s="207">
        <v>223027</v>
      </c>
    </row>
    <row r="279" spans="1:95" ht="11.25">
      <c r="A279" s="207">
        <v>915</v>
      </c>
      <c r="B279" s="207" t="s">
        <v>335</v>
      </c>
      <c r="C279" s="207">
        <v>20829</v>
      </c>
      <c r="D279" s="207">
        <v>73489656.45</v>
      </c>
      <c r="E279" s="207">
        <v>37111661.59124323</v>
      </c>
      <c r="F279" s="207">
        <v>4708610.68963286</v>
      </c>
      <c r="G279" s="207">
        <v>115309928.73087609</v>
      </c>
      <c r="H279" s="207">
        <v>3664.46</v>
      </c>
      <c r="I279" s="207">
        <v>76327037.34</v>
      </c>
      <c r="J279" s="207">
        <v>38982891.390876085</v>
      </c>
      <c r="K279" s="207">
        <v>975025.1780979835</v>
      </c>
      <c r="L279" s="207">
        <v>-2133443.298847285</v>
      </c>
      <c r="M279" s="207">
        <v>0</v>
      </c>
      <c r="N279" s="207">
        <v>37824473.27012678</v>
      </c>
      <c r="O279" s="207">
        <v>8636734.968399623</v>
      </c>
      <c r="P279" s="207">
        <v>46461208.238526404</v>
      </c>
      <c r="Q279" s="207">
        <v>882</v>
      </c>
      <c r="R279" s="207">
        <v>165</v>
      </c>
      <c r="S279" s="207">
        <v>1120</v>
      </c>
      <c r="T279" s="207">
        <v>596</v>
      </c>
      <c r="U279" s="207">
        <v>657</v>
      </c>
      <c r="V279" s="207">
        <v>11262</v>
      </c>
      <c r="W279" s="207">
        <v>3413</v>
      </c>
      <c r="X279" s="207">
        <v>1898</v>
      </c>
      <c r="Y279" s="207">
        <v>836</v>
      </c>
      <c r="Z279" s="207">
        <v>42</v>
      </c>
      <c r="AA279" s="207">
        <v>1</v>
      </c>
      <c r="AB279" s="207">
        <v>20127</v>
      </c>
      <c r="AC279" s="207">
        <v>659</v>
      </c>
      <c r="AD279" s="207">
        <v>6147</v>
      </c>
      <c r="AE279" s="481">
        <v>1.508087821146713</v>
      </c>
      <c r="AF279" s="207">
        <v>37111661.59124323</v>
      </c>
      <c r="AG279" s="207" t="e">
        <v>#DIV/0!</v>
      </c>
      <c r="AH279" s="207" t="e">
        <v>#DIV/0!</v>
      </c>
      <c r="AI279" s="207" t="e">
        <v>#DIV/0!</v>
      </c>
      <c r="AJ279" s="175">
        <v>1212</v>
      </c>
      <c r="AK279" s="175">
        <v>9069</v>
      </c>
      <c r="AL279" s="175">
        <v>1.3698324714339192</v>
      </c>
      <c r="AM279" s="175">
        <v>659</v>
      </c>
      <c r="AN279" s="175">
        <v>0.03163858082481156</v>
      </c>
      <c r="AO279" s="175">
        <v>0.028357501714348563</v>
      </c>
      <c r="AP279" s="175">
        <v>0</v>
      </c>
      <c r="AQ279" s="175">
        <v>42</v>
      </c>
      <c r="AR279" s="175">
        <v>1</v>
      </c>
      <c r="AS279" s="175">
        <v>0</v>
      </c>
      <c r="AT279" s="175">
        <v>0</v>
      </c>
      <c r="AU279" s="175">
        <v>385.63</v>
      </c>
      <c r="AV279" s="175">
        <v>54.01291393304463</v>
      </c>
      <c r="AW279" s="175">
        <v>0.33604041736042756</v>
      </c>
      <c r="AX279" s="175">
        <v>786</v>
      </c>
      <c r="AY279" s="175">
        <v>5774</v>
      </c>
      <c r="AZ279" s="175">
        <v>0.1361274679598199</v>
      </c>
      <c r="BA279" s="175">
        <v>0.07494363187558539</v>
      </c>
      <c r="BB279" s="175">
        <v>0</v>
      </c>
      <c r="BC279" s="207">
        <v>8333</v>
      </c>
      <c r="BD279" s="175">
        <v>7428</v>
      </c>
      <c r="BE279" s="175">
        <v>1.121836295099623</v>
      </c>
      <c r="BF279" s="175">
        <v>0.7129294125085299</v>
      </c>
      <c r="BG279" s="175">
        <v>0</v>
      </c>
      <c r="BH279" s="175">
        <v>1</v>
      </c>
      <c r="BI279" s="207">
        <v>0</v>
      </c>
      <c r="BJ279" s="207">
        <v>-4998.96</v>
      </c>
      <c r="BK279" s="207">
        <v>-85398.9</v>
      </c>
      <c r="BL279" s="207">
        <v>-5832.120000000001</v>
      </c>
      <c r="BM279" s="207">
        <v>0</v>
      </c>
      <c r="BN279" s="207">
        <v>0</v>
      </c>
      <c r="BO279" s="207">
        <v>496889</v>
      </c>
      <c r="BP279" s="207">
        <v>-1579359.0302348405</v>
      </c>
      <c r="BQ279" s="207">
        <v>-886482.24</v>
      </c>
      <c r="BR279" s="207">
        <v>-27351.97135592252</v>
      </c>
      <c r="BS279" s="207">
        <v>1653793</v>
      </c>
      <c r="BT279" s="207">
        <v>512148</v>
      </c>
      <c r="BU279" s="207">
        <v>1193037.444890245</v>
      </c>
      <c r="BV279" s="207">
        <v>56295.40430510851</v>
      </c>
      <c r="BW279" s="207">
        <v>159674.2018735389</v>
      </c>
      <c r="BX279" s="207">
        <v>682568.9884026675</v>
      </c>
      <c r="BY279" s="207">
        <v>970869.2276908858</v>
      </c>
      <c r="BZ279" s="207">
        <v>1570206.396035505</v>
      </c>
      <c r="CA279" s="207">
        <v>455376.49303466274</v>
      </c>
      <c r="CB279" s="207">
        <v>874237.1679686434</v>
      </c>
      <c r="CC279" s="207">
        <v>1874.61</v>
      </c>
      <c r="CD279" s="207">
        <v>208764.35289750661</v>
      </c>
      <c r="CE279" s="207">
        <v>1713568.9613875553</v>
      </c>
      <c r="CF279" s="207">
        <v>-2133443.298847285</v>
      </c>
      <c r="CG279" s="207">
        <v>1012772.259845971</v>
      </c>
      <c r="CH279" s="207">
        <v>1132788.1996679245</v>
      </c>
      <c r="CI279" s="207">
        <v>0</v>
      </c>
      <c r="CJ279" s="207">
        <v>8636734.968399623</v>
      </c>
      <c r="CK279" s="207">
        <v>-2426057</v>
      </c>
      <c r="CL279" s="207">
        <v>315149.91000000003</v>
      </c>
      <c r="CM279" s="207">
        <v>235472.81400000007</v>
      </c>
      <c r="CN279" s="207">
        <v>79677.09599999996</v>
      </c>
      <c r="CO279" s="207">
        <v>44035151.238526404</v>
      </c>
      <c r="CP279" s="207">
        <v>48591685.39436525</v>
      </c>
      <c r="CQ279" s="207">
        <v>21155</v>
      </c>
    </row>
    <row r="280" spans="1:95" ht="11.25">
      <c r="A280" s="207">
        <v>918</v>
      </c>
      <c r="B280" s="207" t="s">
        <v>336</v>
      </c>
      <c r="C280" s="207">
        <v>2285</v>
      </c>
      <c r="D280" s="207">
        <v>8414660.65</v>
      </c>
      <c r="E280" s="207">
        <v>3118696.692551761</v>
      </c>
      <c r="F280" s="207">
        <v>462274.4510231213</v>
      </c>
      <c r="G280" s="207">
        <v>11995631.79357488</v>
      </c>
      <c r="H280" s="207">
        <v>3664.46</v>
      </c>
      <c r="I280" s="207">
        <v>8373291.1</v>
      </c>
      <c r="J280" s="207">
        <v>3622340.693574881</v>
      </c>
      <c r="K280" s="207">
        <v>55733.83279352228</v>
      </c>
      <c r="L280" s="207">
        <v>-157392.17610271033</v>
      </c>
      <c r="M280" s="207">
        <v>0</v>
      </c>
      <c r="N280" s="207">
        <v>3520682.350265693</v>
      </c>
      <c r="O280" s="207">
        <v>1520708.147226066</v>
      </c>
      <c r="P280" s="207">
        <v>5041390.497491759</v>
      </c>
      <c r="Q280" s="207">
        <v>124</v>
      </c>
      <c r="R280" s="207">
        <v>20</v>
      </c>
      <c r="S280" s="207">
        <v>135</v>
      </c>
      <c r="T280" s="207">
        <v>61</v>
      </c>
      <c r="U280" s="207">
        <v>74</v>
      </c>
      <c r="V280" s="207">
        <v>1231</v>
      </c>
      <c r="W280" s="207">
        <v>354</v>
      </c>
      <c r="X280" s="207">
        <v>181</v>
      </c>
      <c r="Y280" s="207">
        <v>105</v>
      </c>
      <c r="Z280" s="207">
        <v>16</v>
      </c>
      <c r="AA280" s="207">
        <v>0</v>
      </c>
      <c r="AB280" s="207">
        <v>2219</v>
      </c>
      <c r="AC280" s="207">
        <v>50</v>
      </c>
      <c r="AD280" s="207">
        <v>640</v>
      </c>
      <c r="AE280" s="481">
        <v>1.1552383262868342</v>
      </c>
      <c r="AF280" s="207">
        <v>3118696.692551761</v>
      </c>
      <c r="AG280" s="207" t="e">
        <v>#DIV/0!</v>
      </c>
      <c r="AH280" s="207" t="e">
        <v>#DIV/0!</v>
      </c>
      <c r="AI280" s="207" t="e">
        <v>#DIV/0!</v>
      </c>
      <c r="AJ280" s="175">
        <v>68</v>
      </c>
      <c r="AK280" s="175">
        <v>1054</v>
      </c>
      <c r="AL280" s="175">
        <v>0.661290891271916</v>
      </c>
      <c r="AM280" s="175">
        <v>50</v>
      </c>
      <c r="AN280" s="175">
        <v>0.02188183807439825</v>
      </c>
      <c r="AO280" s="175">
        <v>0.018600758963935253</v>
      </c>
      <c r="AP280" s="175">
        <v>0</v>
      </c>
      <c r="AQ280" s="175">
        <v>16</v>
      </c>
      <c r="AR280" s="175">
        <v>0</v>
      </c>
      <c r="AS280" s="175">
        <v>0</v>
      </c>
      <c r="AT280" s="175">
        <v>0</v>
      </c>
      <c r="AU280" s="175">
        <v>188.85</v>
      </c>
      <c r="AV280" s="175">
        <v>12.099549907333863</v>
      </c>
      <c r="AW280" s="175">
        <v>1.5000989524338961</v>
      </c>
      <c r="AX280" s="175">
        <v>113</v>
      </c>
      <c r="AY280" s="175">
        <v>661</v>
      </c>
      <c r="AZ280" s="175">
        <v>0.17095310136157338</v>
      </c>
      <c r="BA280" s="175">
        <v>0.10976926527733888</v>
      </c>
      <c r="BB280" s="175">
        <v>0</v>
      </c>
      <c r="BC280" s="207">
        <v>732</v>
      </c>
      <c r="BD280" s="175">
        <v>938</v>
      </c>
      <c r="BE280" s="175">
        <v>0.7803837953091685</v>
      </c>
      <c r="BF280" s="175">
        <v>0.37147691271807537</v>
      </c>
      <c r="BG280" s="175">
        <v>0</v>
      </c>
      <c r="BH280" s="175">
        <v>0</v>
      </c>
      <c r="BI280" s="207">
        <v>0</v>
      </c>
      <c r="BJ280" s="207">
        <v>-548.4</v>
      </c>
      <c r="BK280" s="207">
        <v>-9368.5</v>
      </c>
      <c r="BL280" s="207">
        <v>-639.8000000000001</v>
      </c>
      <c r="BM280" s="207">
        <v>0</v>
      </c>
      <c r="BN280" s="207">
        <v>0</v>
      </c>
      <c r="BO280" s="207">
        <v>-27273</v>
      </c>
      <c r="BP280" s="207">
        <v>8550.555684776176</v>
      </c>
      <c r="BQ280" s="207">
        <v>-97249.6</v>
      </c>
      <c r="BR280" s="207">
        <v>4954.212569518015</v>
      </c>
      <c r="BS280" s="207">
        <v>248075</v>
      </c>
      <c r="BT280" s="207">
        <v>85184</v>
      </c>
      <c r="BU280" s="207">
        <v>189146.4491313759</v>
      </c>
      <c r="BV280" s="207">
        <v>8965.572928964224</v>
      </c>
      <c r="BW280" s="207">
        <v>6698.7777193360425</v>
      </c>
      <c r="BX280" s="207">
        <v>69879.02413088459</v>
      </c>
      <c r="BY280" s="207">
        <v>152070.0449183733</v>
      </c>
      <c r="BZ280" s="207">
        <v>249805.59383009965</v>
      </c>
      <c r="CA280" s="207">
        <v>73752.9668179956</v>
      </c>
      <c r="CB280" s="207">
        <v>117200.99420505411</v>
      </c>
      <c r="CC280" s="207">
        <v>205.65</v>
      </c>
      <c r="CD280" s="207">
        <v>-2681.9647554392523</v>
      </c>
      <c r="CE280" s="207">
        <v>82825.21821251349</v>
      </c>
      <c r="CF280" s="207">
        <v>-157392.17610271033</v>
      </c>
      <c r="CG280" s="207">
        <v>105358.17039843474</v>
      </c>
      <c r="CH280" s="207">
        <v>163021.76992585423</v>
      </c>
      <c r="CI280" s="207">
        <v>0</v>
      </c>
      <c r="CJ280" s="207">
        <v>1520708.147226066</v>
      </c>
      <c r="CK280" s="207">
        <v>-464968</v>
      </c>
      <c r="CL280" s="207">
        <v>17724.2</v>
      </c>
      <c r="CM280" s="207">
        <v>61353</v>
      </c>
      <c r="CN280" s="207">
        <v>-43628.8</v>
      </c>
      <c r="CO280" s="207">
        <v>4576422.497491759</v>
      </c>
      <c r="CP280" s="207">
        <v>5550172.731345398</v>
      </c>
      <c r="CQ280" s="207">
        <v>2316</v>
      </c>
    </row>
    <row r="281" spans="1:95" ht="11.25">
      <c r="A281" s="207">
        <v>921</v>
      </c>
      <c r="B281" s="207" t="s">
        <v>337</v>
      </c>
      <c r="C281" s="207">
        <v>2058</v>
      </c>
      <c r="D281" s="207">
        <v>7934534.82</v>
      </c>
      <c r="E281" s="207">
        <v>4843454.032203778</v>
      </c>
      <c r="F281" s="207">
        <v>674727.5004996439</v>
      </c>
      <c r="G281" s="207">
        <v>13452716.352703422</v>
      </c>
      <c r="H281" s="207">
        <v>3664.46</v>
      </c>
      <c r="I281" s="207">
        <v>7541458.68</v>
      </c>
      <c r="J281" s="207">
        <v>5911257.672703423</v>
      </c>
      <c r="K281" s="207">
        <v>418360.41381317546</v>
      </c>
      <c r="L281" s="207">
        <v>-39747.46521019997</v>
      </c>
      <c r="M281" s="207">
        <v>0</v>
      </c>
      <c r="N281" s="207">
        <v>6289870.621306398</v>
      </c>
      <c r="O281" s="207">
        <v>2343860.2293972056</v>
      </c>
      <c r="P281" s="207">
        <v>8633730.850703605</v>
      </c>
      <c r="Q281" s="207">
        <v>63</v>
      </c>
      <c r="R281" s="207">
        <v>12</v>
      </c>
      <c r="S281" s="207">
        <v>101</v>
      </c>
      <c r="T281" s="207">
        <v>45</v>
      </c>
      <c r="U281" s="207">
        <v>58</v>
      </c>
      <c r="V281" s="207">
        <v>953</v>
      </c>
      <c r="W281" s="207">
        <v>448</v>
      </c>
      <c r="X281" s="207">
        <v>257</v>
      </c>
      <c r="Y281" s="207">
        <v>121</v>
      </c>
      <c r="Z281" s="207">
        <v>4</v>
      </c>
      <c r="AA281" s="207">
        <v>0</v>
      </c>
      <c r="AB281" s="207">
        <v>2021</v>
      </c>
      <c r="AC281" s="207">
        <v>33</v>
      </c>
      <c r="AD281" s="207">
        <v>826</v>
      </c>
      <c r="AE281" s="481">
        <v>1.9920235355912517</v>
      </c>
      <c r="AF281" s="207">
        <v>4843454.032203778</v>
      </c>
      <c r="AG281" s="207" t="e">
        <v>#DIV/0!</v>
      </c>
      <c r="AH281" s="207" t="e">
        <v>#DIV/0!</v>
      </c>
      <c r="AI281" s="207" t="e">
        <v>#DIV/0!</v>
      </c>
      <c r="AJ281" s="175">
        <v>94</v>
      </c>
      <c r="AK281" s="175">
        <v>807</v>
      </c>
      <c r="AL281" s="175">
        <v>1.1939291556173253</v>
      </c>
      <c r="AM281" s="175">
        <v>33</v>
      </c>
      <c r="AN281" s="175">
        <v>0.016034985422740525</v>
      </c>
      <c r="AO281" s="175">
        <v>0.012753906312277529</v>
      </c>
      <c r="AP281" s="175">
        <v>0</v>
      </c>
      <c r="AQ281" s="175">
        <v>4</v>
      </c>
      <c r="AR281" s="175">
        <v>0</v>
      </c>
      <c r="AS281" s="175">
        <v>0</v>
      </c>
      <c r="AT281" s="175">
        <v>0</v>
      </c>
      <c r="AU281" s="175">
        <v>422.62</v>
      </c>
      <c r="AV281" s="175">
        <v>4.869622829018977</v>
      </c>
      <c r="AW281" s="175">
        <v>3.727295270744764</v>
      </c>
      <c r="AX281" s="175">
        <v>85</v>
      </c>
      <c r="AY281" s="175">
        <v>503</v>
      </c>
      <c r="AZ281" s="175">
        <v>0.16898608349900596</v>
      </c>
      <c r="BA281" s="175">
        <v>0.10780224741477146</v>
      </c>
      <c r="BB281" s="175">
        <v>0.806583</v>
      </c>
      <c r="BC281" s="207">
        <v>589</v>
      </c>
      <c r="BD281" s="175">
        <v>695</v>
      </c>
      <c r="BE281" s="175">
        <v>0.8474820143884892</v>
      </c>
      <c r="BF281" s="175">
        <v>0.43857513179739616</v>
      </c>
      <c r="BG281" s="175">
        <v>0</v>
      </c>
      <c r="BH281" s="175">
        <v>0</v>
      </c>
      <c r="BI281" s="207">
        <v>0</v>
      </c>
      <c r="BJ281" s="207">
        <v>-493.91999999999996</v>
      </c>
      <c r="BK281" s="207">
        <v>-8437.8</v>
      </c>
      <c r="BL281" s="207">
        <v>-576.24</v>
      </c>
      <c r="BM281" s="207">
        <v>0</v>
      </c>
      <c r="BN281" s="207">
        <v>0</v>
      </c>
      <c r="BO281" s="207">
        <v>-66078</v>
      </c>
      <c r="BP281" s="207">
        <v>-50168.939743789444</v>
      </c>
      <c r="BQ281" s="207">
        <v>-87588.48000000001</v>
      </c>
      <c r="BR281" s="207">
        <v>186918.53762630746</v>
      </c>
      <c r="BS281" s="207">
        <v>272212</v>
      </c>
      <c r="BT281" s="207">
        <v>80979</v>
      </c>
      <c r="BU281" s="207">
        <v>222117.1668681534</v>
      </c>
      <c r="BV281" s="207">
        <v>13393.678597821072</v>
      </c>
      <c r="BW281" s="207">
        <v>24441.04425130178</v>
      </c>
      <c r="BX281" s="207">
        <v>105814.7538803817</v>
      </c>
      <c r="BY281" s="207">
        <v>121929.47807716508</v>
      </c>
      <c r="BZ281" s="207">
        <v>201205.73777891742</v>
      </c>
      <c r="CA281" s="207">
        <v>64741.53751084909</v>
      </c>
      <c r="CB281" s="207">
        <v>110994.11100456932</v>
      </c>
      <c r="CC281" s="207">
        <v>185.22</v>
      </c>
      <c r="CD281" s="207">
        <v>-6743.0523239666945</v>
      </c>
      <c r="CE281" s="207">
        <v>234475.93453358955</v>
      </c>
      <c r="CF281" s="207">
        <v>-39747.46521019997</v>
      </c>
      <c r="CG281" s="207">
        <v>118155.8092312488</v>
      </c>
      <c r="CH281" s="207">
        <v>148733.57701106265</v>
      </c>
      <c r="CI281" s="207">
        <v>0</v>
      </c>
      <c r="CJ281" s="207">
        <v>2343860.2293972056</v>
      </c>
      <c r="CK281" s="207">
        <v>97734</v>
      </c>
      <c r="CL281" s="207">
        <v>189580.77</v>
      </c>
      <c r="CM281" s="207">
        <v>45946.58</v>
      </c>
      <c r="CN281" s="207">
        <v>143634.19</v>
      </c>
      <c r="CO281" s="207">
        <v>8731464.850703605</v>
      </c>
      <c r="CP281" s="207">
        <v>9519298.541917767</v>
      </c>
      <c r="CQ281" s="207">
        <v>2094</v>
      </c>
    </row>
    <row r="282" spans="1:95" ht="11.25">
      <c r="A282" s="207">
        <v>922</v>
      </c>
      <c r="B282" s="207" t="s">
        <v>338</v>
      </c>
      <c r="C282" s="207">
        <v>4393</v>
      </c>
      <c r="D282" s="207">
        <v>16964939.33</v>
      </c>
      <c r="E282" s="207">
        <v>3937281.297859329</v>
      </c>
      <c r="F282" s="207">
        <v>631230.3984304274</v>
      </c>
      <c r="G282" s="207">
        <v>21533451.026289754</v>
      </c>
      <c r="H282" s="207">
        <v>3664.46</v>
      </c>
      <c r="I282" s="207">
        <v>16097972.78</v>
      </c>
      <c r="J282" s="207">
        <v>5435478.246289754</v>
      </c>
      <c r="K282" s="207">
        <v>11603.343379339958</v>
      </c>
      <c r="L282" s="207">
        <v>-377797.46290284046</v>
      </c>
      <c r="M282" s="207">
        <v>0</v>
      </c>
      <c r="N282" s="207">
        <v>5069284.126766254</v>
      </c>
      <c r="O282" s="207">
        <v>2009623.8514688807</v>
      </c>
      <c r="P282" s="207">
        <v>7078907.978235135</v>
      </c>
      <c r="Q282" s="207">
        <v>286</v>
      </c>
      <c r="R282" s="207">
        <v>70</v>
      </c>
      <c r="S282" s="207">
        <v>416</v>
      </c>
      <c r="T282" s="207">
        <v>229</v>
      </c>
      <c r="U282" s="207">
        <v>191</v>
      </c>
      <c r="V282" s="207">
        <v>2394</v>
      </c>
      <c r="W282" s="207">
        <v>463</v>
      </c>
      <c r="X282" s="207">
        <v>227</v>
      </c>
      <c r="Y282" s="207">
        <v>117</v>
      </c>
      <c r="Z282" s="207">
        <v>15</v>
      </c>
      <c r="AA282" s="207">
        <v>0</v>
      </c>
      <c r="AB282" s="207">
        <v>4301</v>
      </c>
      <c r="AC282" s="207">
        <v>77</v>
      </c>
      <c r="AD282" s="207">
        <v>807</v>
      </c>
      <c r="AE282" s="481">
        <v>0.7586123245270673</v>
      </c>
      <c r="AF282" s="207">
        <v>3937281.297859329</v>
      </c>
      <c r="AG282" s="207" t="e">
        <v>#DIV/0!</v>
      </c>
      <c r="AH282" s="207" t="e">
        <v>#DIV/0!</v>
      </c>
      <c r="AI282" s="207" t="e">
        <v>#DIV/0!</v>
      </c>
      <c r="AJ282" s="175">
        <v>125</v>
      </c>
      <c r="AK282" s="175">
        <v>2109</v>
      </c>
      <c r="AL282" s="175">
        <v>0.607515932593332</v>
      </c>
      <c r="AM282" s="175">
        <v>77</v>
      </c>
      <c r="AN282" s="175">
        <v>0.017527885272023674</v>
      </c>
      <c r="AO282" s="175">
        <v>0.014246806161560679</v>
      </c>
      <c r="AP282" s="175">
        <v>0</v>
      </c>
      <c r="AQ282" s="175">
        <v>15</v>
      </c>
      <c r="AR282" s="175">
        <v>0</v>
      </c>
      <c r="AS282" s="175">
        <v>0</v>
      </c>
      <c r="AT282" s="175">
        <v>0</v>
      </c>
      <c r="AU282" s="175">
        <v>301.02</v>
      </c>
      <c r="AV282" s="175">
        <v>14.593714703341972</v>
      </c>
      <c r="AW282" s="175">
        <v>1.2437218699880908</v>
      </c>
      <c r="AX282" s="175">
        <v>134</v>
      </c>
      <c r="AY282" s="175">
        <v>1569</v>
      </c>
      <c r="AZ282" s="175">
        <v>0.08540471637985979</v>
      </c>
      <c r="BA282" s="175">
        <v>0.024220880295625295</v>
      </c>
      <c r="BB282" s="175">
        <v>0</v>
      </c>
      <c r="BC282" s="207">
        <v>830</v>
      </c>
      <c r="BD282" s="175">
        <v>1848</v>
      </c>
      <c r="BE282" s="175">
        <v>0.4491341991341991</v>
      </c>
      <c r="BF282" s="175">
        <v>0.04022731654310602</v>
      </c>
      <c r="BG282" s="175">
        <v>0</v>
      </c>
      <c r="BH282" s="175">
        <v>0</v>
      </c>
      <c r="BI282" s="207">
        <v>0</v>
      </c>
      <c r="BJ282" s="207">
        <v>-1054.32</v>
      </c>
      <c r="BK282" s="207">
        <v>-18011.3</v>
      </c>
      <c r="BL282" s="207">
        <v>-1230.0400000000002</v>
      </c>
      <c r="BM282" s="207">
        <v>0</v>
      </c>
      <c r="BN282" s="207">
        <v>0</v>
      </c>
      <c r="BO282" s="207">
        <v>7844</v>
      </c>
      <c r="BP282" s="207">
        <v>-96611.70667005992</v>
      </c>
      <c r="BQ282" s="207">
        <v>-186966.08000000002</v>
      </c>
      <c r="BR282" s="207">
        <v>-17408.788966968656</v>
      </c>
      <c r="BS282" s="207">
        <v>372593</v>
      </c>
      <c r="BT282" s="207">
        <v>113630</v>
      </c>
      <c r="BU282" s="207">
        <v>247453.05399288182</v>
      </c>
      <c r="BV282" s="207">
        <v>4791.849889109826</v>
      </c>
      <c r="BW282" s="207">
        <v>24729.80966282126</v>
      </c>
      <c r="BX282" s="207">
        <v>87174.84135904237</v>
      </c>
      <c r="BY282" s="207">
        <v>227204.16309526682</v>
      </c>
      <c r="BZ282" s="207">
        <v>331634.24889975326</v>
      </c>
      <c r="CA282" s="207">
        <v>90740.24528226476</v>
      </c>
      <c r="CB282" s="207">
        <v>175356.23759167743</v>
      </c>
      <c r="CC282" s="207">
        <v>395.37</v>
      </c>
      <c r="CD282" s="207">
        <v>12771.239554456046</v>
      </c>
      <c r="CE282" s="207">
        <v>197080.15376721948</v>
      </c>
      <c r="CF282" s="207">
        <v>-377797.46290284046</v>
      </c>
      <c r="CG282" s="207">
        <v>189129.26317973208</v>
      </c>
      <c r="CH282" s="207">
        <v>248864.06761028167</v>
      </c>
      <c r="CI282" s="207">
        <v>0</v>
      </c>
      <c r="CJ282" s="207">
        <v>2009623.8514688807</v>
      </c>
      <c r="CK282" s="207">
        <v>-911918</v>
      </c>
      <c r="CL282" s="207">
        <v>167766.37</v>
      </c>
      <c r="CM282" s="207">
        <v>108308.496</v>
      </c>
      <c r="CN282" s="207">
        <v>59457.873999999996</v>
      </c>
      <c r="CO282" s="207">
        <v>6166989.978235135</v>
      </c>
      <c r="CP282" s="207">
        <v>7722465.2828947045</v>
      </c>
      <c r="CQ282" s="207">
        <v>4460</v>
      </c>
    </row>
    <row r="283" spans="1:95" ht="11.25">
      <c r="A283" s="207">
        <v>924</v>
      </c>
      <c r="B283" s="207" t="s">
        <v>339</v>
      </c>
      <c r="C283" s="207">
        <v>3166</v>
      </c>
      <c r="D283" s="207">
        <v>12146358.49</v>
      </c>
      <c r="E283" s="207">
        <v>4904154.829217552</v>
      </c>
      <c r="F283" s="207">
        <v>730001.8588360095</v>
      </c>
      <c r="G283" s="207">
        <v>17780515.17805356</v>
      </c>
      <c r="H283" s="207">
        <v>3664.46</v>
      </c>
      <c r="I283" s="207">
        <v>11601680.36</v>
      </c>
      <c r="J283" s="207">
        <v>6178834.818053562</v>
      </c>
      <c r="K283" s="207">
        <v>230062.14272952685</v>
      </c>
      <c r="L283" s="207">
        <v>-127775.86789701213</v>
      </c>
      <c r="M283" s="207">
        <v>0</v>
      </c>
      <c r="N283" s="207">
        <v>6281121.092886076</v>
      </c>
      <c r="O283" s="207">
        <v>2774604.054522876</v>
      </c>
      <c r="P283" s="207">
        <v>9055725.147408953</v>
      </c>
      <c r="Q283" s="207">
        <v>163</v>
      </c>
      <c r="R283" s="207">
        <v>40</v>
      </c>
      <c r="S283" s="207">
        <v>244</v>
      </c>
      <c r="T283" s="207">
        <v>95</v>
      </c>
      <c r="U283" s="207">
        <v>95</v>
      </c>
      <c r="V283" s="207">
        <v>1605</v>
      </c>
      <c r="W283" s="207">
        <v>500</v>
      </c>
      <c r="X283" s="207">
        <v>290</v>
      </c>
      <c r="Y283" s="207">
        <v>134</v>
      </c>
      <c r="Z283" s="207">
        <v>51</v>
      </c>
      <c r="AA283" s="207">
        <v>0</v>
      </c>
      <c r="AB283" s="207">
        <v>3046</v>
      </c>
      <c r="AC283" s="207">
        <v>69</v>
      </c>
      <c r="AD283" s="207">
        <v>924</v>
      </c>
      <c r="AE283" s="481">
        <v>1.3111063346165368</v>
      </c>
      <c r="AF283" s="207">
        <v>4904154.829217552</v>
      </c>
      <c r="AG283" s="207" t="e">
        <v>#DIV/0!</v>
      </c>
      <c r="AH283" s="207" t="e">
        <v>#DIV/0!</v>
      </c>
      <c r="AI283" s="207" t="e">
        <v>#DIV/0!</v>
      </c>
      <c r="AJ283" s="175">
        <v>90</v>
      </c>
      <c r="AK283" s="175">
        <v>1436</v>
      </c>
      <c r="AL283" s="175">
        <v>0.6424100232063529</v>
      </c>
      <c r="AM283" s="175">
        <v>69</v>
      </c>
      <c r="AN283" s="175">
        <v>0.021794061907770057</v>
      </c>
      <c r="AO283" s="175">
        <v>0.01851298279730706</v>
      </c>
      <c r="AP283" s="175">
        <v>0</v>
      </c>
      <c r="AQ283" s="175">
        <v>51</v>
      </c>
      <c r="AR283" s="175">
        <v>0</v>
      </c>
      <c r="AS283" s="175">
        <v>0</v>
      </c>
      <c r="AT283" s="175">
        <v>0</v>
      </c>
      <c r="AU283" s="175">
        <v>502.13</v>
      </c>
      <c r="AV283" s="175">
        <v>6.305140103160536</v>
      </c>
      <c r="AW283" s="175">
        <v>2.8786865706306792</v>
      </c>
      <c r="AX283" s="175">
        <v>94</v>
      </c>
      <c r="AY283" s="175">
        <v>858</v>
      </c>
      <c r="AZ283" s="175">
        <v>0.10955710955710955</v>
      </c>
      <c r="BA283" s="175">
        <v>0.04837327347287506</v>
      </c>
      <c r="BB283" s="175">
        <v>0.198866</v>
      </c>
      <c r="BC283" s="207">
        <v>1128</v>
      </c>
      <c r="BD283" s="175">
        <v>1311</v>
      </c>
      <c r="BE283" s="175">
        <v>0.8604118993135011</v>
      </c>
      <c r="BF283" s="175">
        <v>0.45150501672240806</v>
      </c>
      <c r="BG283" s="175">
        <v>0</v>
      </c>
      <c r="BH283" s="175">
        <v>0</v>
      </c>
      <c r="BI283" s="207">
        <v>0</v>
      </c>
      <c r="BJ283" s="207">
        <v>-759.8399999999999</v>
      </c>
      <c r="BK283" s="207">
        <v>-12980.599999999999</v>
      </c>
      <c r="BL283" s="207">
        <v>-886.4800000000001</v>
      </c>
      <c r="BM283" s="207">
        <v>0</v>
      </c>
      <c r="BN283" s="207">
        <v>0</v>
      </c>
      <c r="BO283" s="207">
        <v>-2352</v>
      </c>
      <c r="BP283" s="207">
        <v>-15660.653221790679</v>
      </c>
      <c r="BQ283" s="207">
        <v>-134744.96000000002</v>
      </c>
      <c r="BR283" s="207">
        <v>96922.8365674261</v>
      </c>
      <c r="BS283" s="207">
        <v>317973</v>
      </c>
      <c r="BT283" s="207">
        <v>108817</v>
      </c>
      <c r="BU283" s="207">
        <v>294373.6014908999</v>
      </c>
      <c r="BV283" s="207">
        <v>16327.450232480376</v>
      </c>
      <c r="BW283" s="207">
        <v>23733.81038234982</v>
      </c>
      <c r="BX283" s="207">
        <v>124141.35144134986</v>
      </c>
      <c r="BY283" s="207">
        <v>210098.3103882597</v>
      </c>
      <c r="BZ283" s="207">
        <v>352062.1337239467</v>
      </c>
      <c r="CA283" s="207">
        <v>99079.52733505667</v>
      </c>
      <c r="CB283" s="207">
        <v>163968.8276254966</v>
      </c>
      <c r="CC283" s="207">
        <v>284.94</v>
      </c>
      <c r="CD283" s="207">
        <v>-21589.971063933</v>
      </c>
      <c r="CE283" s="207">
        <v>232567.20532477854</v>
      </c>
      <c r="CF283" s="207">
        <v>-127775.86789701213</v>
      </c>
      <c r="CG283" s="207">
        <v>156167.05982128545</v>
      </c>
      <c r="CH283" s="207">
        <v>232574.90032383814</v>
      </c>
      <c r="CI283" s="207">
        <v>0</v>
      </c>
      <c r="CJ283" s="207">
        <v>2774604.054522876</v>
      </c>
      <c r="CK283" s="207">
        <v>-319209</v>
      </c>
      <c r="CL283" s="207">
        <v>61353</v>
      </c>
      <c r="CM283" s="207">
        <v>28767.739999999998</v>
      </c>
      <c r="CN283" s="207">
        <v>32585.260000000002</v>
      </c>
      <c r="CO283" s="207">
        <v>8736516.147408953</v>
      </c>
      <c r="CP283" s="207">
        <v>9677499.362534389</v>
      </c>
      <c r="CQ283" s="207">
        <v>3216</v>
      </c>
    </row>
    <row r="284" spans="1:95" ht="11.25">
      <c r="A284" s="207">
        <v>925</v>
      </c>
      <c r="B284" s="207" t="s">
        <v>340</v>
      </c>
      <c r="C284" s="207">
        <v>3676</v>
      </c>
      <c r="D284" s="207">
        <v>13445372.29</v>
      </c>
      <c r="E284" s="207">
        <v>6263978.527836765</v>
      </c>
      <c r="F284" s="207">
        <v>1298389.0210102368</v>
      </c>
      <c r="G284" s="207">
        <v>21007739.838847004</v>
      </c>
      <c r="H284" s="207">
        <v>3664.46</v>
      </c>
      <c r="I284" s="207">
        <v>13470554.96</v>
      </c>
      <c r="J284" s="207">
        <v>7537184.878847003</v>
      </c>
      <c r="K284" s="207">
        <v>367760.5907607505</v>
      </c>
      <c r="L284" s="207">
        <v>-200403.9244834304</v>
      </c>
      <c r="M284" s="207">
        <v>0</v>
      </c>
      <c r="N284" s="207">
        <v>7704541.545124323</v>
      </c>
      <c r="O284" s="207">
        <v>1223140.8339818544</v>
      </c>
      <c r="P284" s="207">
        <v>8927682.379106177</v>
      </c>
      <c r="Q284" s="207">
        <v>212</v>
      </c>
      <c r="R284" s="207">
        <v>43</v>
      </c>
      <c r="S284" s="207">
        <v>237</v>
      </c>
      <c r="T284" s="207">
        <v>125</v>
      </c>
      <c r="U284" s="207">
        <v>120</v>
      </c>
      <c r="V284" s="207">
        <v>1988</v>
      </c>
      <c r="W284" s="207">
        <v>529</v>
      </c>
      <c r="X284" s="207">
        <v>290</v>
      </c>
      <c r="Y284" s="207">
        <v>132</v>
      </c>
      <c r="Z284" s="207">
        <v>3</v>
      </c>
      <c r="AA284" s="207">
        <v>0</v>
      </c>
      <c r="AB284" s="207">
        <v>3559</v>
      </c>
      <c r="AC284" s="207">
        <v>114</v>
      </c>
      <c r="AD284" s="207">
        <v>951</v>
      </c>
      <c r="AE284" s="481">
        <v>1.442312644772689</v>
      </c>
      <c r="AF284" s="207">
        <v>6263978.527836765</v>
      </c>
      <c r="AG284" s="207" t="e">
        <v>#DIV/0!</v>
      </c>
      <c r="AH284" s="207" t="e">
        <v>#DIV/0!</v>
      </c>
      <c r="AI284" s="207" t="e">
        <v>#DIV/0!</v>
      </c>
      <c r="AJ284" s="175">
        <v>146</v>
      </c>
      <c r="AK284" s="175">
        <v>1690</v>
      </c>
      <c r="AL284" s="175">
        <v>0.8855037200877786</v>
      </c>
      <c r="AM284" s="175">
        <v>114</v>
      </c>
      <c r="AN284" s="175">
        <v>0.031011969532100107</v>
      </c>
      <c r="AO284" s="175">
        <v>0.027730890421637112</v>
      </c>
      <c r="AP284" s="175">
        <v>0</v>
      </c>
      <c r="AQ284" s="175">
        <v>3</v>
      </c>
      <c r="AR284" s="175">
        <v>0</v>
      </c>
      <c r="AS284" s="175">
        <v>0</v>
      </c>
      <c r="AT284" s="175">
        <v>0</v>
      </c>
      <c r="AU284" s="175">
        <v>925.21</v>
      </c>
      <c r="AV284" s="175">
        <v>3.9731520411582233</v>
      </c>
      <c r="AW284" s="175">
        <v>4.5682928699657985</v>
      </c>
      <c r="AX284" s="175">
        <v>153</v>
      </c>
      <c r="AY284" s="175">
        <v>1055</v>
      </c>
      <c r="AZ284" s="175">
        <v>0.14502369668246445</v>
      </c>
      <c r="BA284" s="175">
        <v>0.08383986059822995</v>
      </c>
      <c r="BB284" s="175">
        <v>0.186616</v>
      </c>
      <c r="BC284" s="207">
        <v>1970</v>
      </c>
      <c r="BD284" s="175">
        <v>1495</v>
      </c>
      <c r="BE284" s="175">
        <v>1.3177257525083612</v>
      </c>
      <c r="BF284" s="175">
        <v>0.9088188699172681</v>
      </c>
      <c r="BG284" s="175">
        <v>0</v>
      </c>
      <c r="BH284" s="175">
        <v>0</v>
      </c>
      <c r="BI284" s="207">
        <v>0</v>
      </c>
      <c r="BJ284" s="207">
        <v>-882.24</v>
      </c>
      <c r="BK284" s="207">
        <v>-15071.599999999999</v>
      </c>
      <c r="BL284" s="207">
        <v>-1029.2800000000002</v>
      </c>
      <c r="BM284" s="207">
        <v>0</v>
      </c>
      <c r="BN284" s="207">
        <v>0</v>
      </c>
      <c r="BO284" s="207">
        <v>81614</v>
      </c>
      <c r="BP284" s="207">
        <v>-114242.17739892926</v>
      </c>
      <c r="BQ284" s="207">
        <v>-156450.56</v>
      </c>
      <c r="BR284" s="207">
        <v>104347.35000475124</v>
      </c>
      <c r="BS284" s="207">
        <v>384706</v>
      </c>
      <c r="BT284" s="207">
        <v>121762</v>
      </c>
      <c r="BU284" s="207">
        <v>310293.88668585266</v>
      </c>
      <c r="BV284" s="207">
        <v>16652.30352597964</v>
      </c>
      <c r="BW284" s="207">
        <v>51151.930757798465</v>
      </c>
      <c r="BX284" s="207">
        <v>148958.9285510253</v>
      </c>
      <c r="BY284" s="207">
        <v>218427.78682115505</v>
      </c>
      <c r="BZ284" s="207">
        <v>366883.5387637215</v>
      </c>
      <c r="CA284" s="207">
        <v>109056.87091837132</v>
      </c>
      <c r="CB284" s="207">
        <v>190013.84041287802</v>
      </c>
      <c r="CC284" s="207">
        <v>330.84</v>
      </c>
      <c r="CD284" s="207">
        <v>-60398.975403779266</v>
      </c>
      <c r="CE284" s="207">
        <v>314044.3729154988</v>
      </c>
      <c r="CF284" s="207">
        <v>-200403.9244834304</v>
      </c>
      <c r="CG284" s="207">
        <v>184511.9183145268</v>
      </c>
      <c r="CH284" s="207">
        <v>258328.58599470055</v>
      </c>
      <c r="CI284" s="207">
        <v>0</v>
      </c>
      <c r="CJ284" s="207">
        <v>1223140.8339818544</v>
      </c>
      <c r="CK284" s="207">
        <v>-71895</v>
      </c>
      <c r="CL284" s="207">
        <v>147247.2</v>
      </c>
      <c r="CM284" s="207">
        <v>78559.108</v>
      </c>
      <c r="CN284" s="207">
        <v>68688.09200000002</v>
      </c>
      <c r="CO284" s="207">
        <v>8855787.379106177</v>
      </c>
      <c r="CP284" s="207">
        <v>10359487.400351956</v>
      </c>
      <c r="CQ284" s="207">
        <v>3685</v>
      </c>
    </row>
    <row r="285" spans="1:95" ht="11.25">
      <c r="A285" s="207">
        <v>927</v>
      </c>
      <c r="B285" s="207" t="s">
        <v>341</v>
      </c>
      <c r="C285" s="207">
        <v>29211</v>
      </c>
      <c r="D285" s="207">
        <v>100635939.75</v>
      </c>
      <c r="E285" s="207">
        <v>25783149.33579236</v>
      </c>
      <c r="F285" s="207">
        <v>6411180.718979605</v>
      </c>
      <c r="G285" s="207">
        <v>132830269.80477196</v>
      </c>
      <c r="H285" s="207">
        <v>3664.46</v>
      </c>
      <c r="I285" s="207">
        <v>107042541.06</v>
      </c>
      <c r="J285" s="207">
        <v>25787728.744771957</v>
      </c>
      <c r="K285" s="207">
        <v>398791.7654751458</v>
      </c>
      <c r="L285" s="207">
        <v>-3961597.2986078914</v>
      </c>
      <c r="M285" s="207">
        <v>0</v>
      </c>
      <c r="N285" s="207">
        <v>22224923.21163921</v>
      </c>
      <c r="O285" s="207">
        <v>-1183676.7643115148</v>
      </c>
      <c r="P285" s="207">
        <v>21041246.447327696</v>
      </c>
      <c r="Q285" s="207">
        <v>1835</v>
      </c>
      <c r="R285" s="207">
        <v>401</v>
      </c>
      <c r="S285" s="207">
        <v>2548</v>
      </c>
      <c r="T285" s="207">
        <v>1160</v>
      </c>
      <c r="U285" s="207">
        <v>1108</v>
      </c>
      <c r="V285" s="207">
        <v>16710</v>
      </c>
      <c r="W285" s="207">
        <v>3474</v>
      </c>
      <c r="X285" s="207">
        <v>1472</v>
      </c>
      <c r="Y285" s="207">
        <v>503</v>
      </c>
      <c r="Z285" s="207">
        <v>491</v>
      </c>
      <c r="AA285" s="207">
        <v>1</v>
      </c>
      <c r="AB285" s="207">
        <v>27163</v>
      </c>
      <c r="AC285" s="207">
        <v>1556</v>
      </c>
      <c r="AD285" s="207">
        <v>5449</v>
      </c>
      <c r="AE285" s="481">
        <v>0.7470921836566097</v>
      </c>
      <c r="AF285" s="207">
        <v>25783149.33579236</v>
      </c>
      <c r="AG285" s="207" t="e">
        <v>#DIV/0!</v>
      </c>
      <c r="AH285" s="207" t="e">
        <v>#DIV/0!</v>
      </c>
      <c r="AI285" s="207" t="e">
        <v>#DIV/0!</v>
      </c>
      <c r="AJ285" s="175">
        <v>1077</v>
      </c>
      <c r="AK285" s="175">
        <v>14551</v>
      </c>
      <c r="AL285" s="175">
        <v>0.7586598511062971</v>
      </c>
      <c r="AM285" s="175">
        <v>1556</v>
      </c>
      <c r="AN285" s="175">
        <v>0.05326760466947383</v>
      </c>
      <c r="AO285" s="175">
        <v>0.04998652555901083</v>
      </c>
      <c r="AP285" s="175">
        <v>0</v>
      </c>
      <c r="AQ285" s="175">
        <v>491</v>
      </c>
      <c r="AR285" s="175">
        <v>1</v>
      </c>
      <c r="AS285" s="175">
        <v>0</v>
      </c>
      <c r="AT285" s="175">
        <v>0</v>
      </c>
      <c r="AU285" s="175">
        <v>522.02</v>
      </c>
      <c r="AV285" s="175">
        <v>55.95762614459216</v>
      </c>
      <c r="AW285" s="175">
        <v>0.3243619036664097</v>
      </c>
      <c r="AX285" s="175">
        <v>1552</v>
      </c>
      <c r="AY285" s="175">
        <v>10121</v>
      </c>
      <c r="AZ285" s="175">
        <v>0.15334453117280902</v>
      </c>
      <c r="BA285" s="175">
        <v>0.09216069508857452</v>
      </c>
      <c r="BB285" s="175">
        <v>0</v>
      </c>
      <c r="BC285" s="207">
        <v>8086</v>
      </c>
      <c r="BD285" s="175">
        <v>13109</v>
      </c>
      <c r="BE285" s="175">
        <v>0.6168281333435045</v>
      </c>
      <c r="BF285" s="175">
        <v>0.2079212507524114</v>
      </c>
      <c r="BG285" s="175">
        <v>0</v>
      </c>
      <c r="BH285" s="175">
        <v>1</v>
      </c>
      <c r="BI285" s="207">
        <v>0</v>
      </c>
      <c r="BJ285" s="207">
        <v>-7010.639999999999</v>
      </c>
      <c r="BK285" s="207">
        <v>-119765.09999999999</v>
      </c>
      <c r="BL285" s="207">
        <v>-8179.080000000001</v>
      </c>
      <c r="BM285" s="207">
        <v>0</v>
      </c>
      <c r="BN285" s="207">
        <v>0</v>
      </c>
      <c r="BO285" s="207">
        <v>-203115</v>
      </c>
      <c r="BP285" s="207">
        <v>-1982351.6452671355</v>
      </c>
      <c r="BQ285" s="207">
        <v>-1243220.1600000001</v>
      </c>
      <c r="BR285" s="207">
        <v>94447.8555355221</v>
      </c>
      <c r="BS285" s="207">
        <v>2001890</v>
      </c>
      <c r="BT285" s="207">
        <v>666810</v>
      </c>
      <c r="BU285" s="207">
        <v>1272981.3959105464</v>
      </c>
      <c r="BV285" s="207">
        <v>-2804.2325492603327</v>
      </c>
      <c r="BW285" s="207">
        <v>-241738.51153038506</v>
      </c>
      <c r="BX285" s="207">
        <v>313170.3837544156</v>
      </c>
      <c r="BY285" s="207">
        <v>1325133.6142187256</v>
      </c>
      <c r="BZ285" s="207">
        <v>2049572.9673950246</v>
      </c>
      <c r="CA285" s="207">
        <v>606296.4218010124</v>
      </c>
      <c r="CB285" s="207">
        <v>1053102.977439796</v>
      </c>
      <c r="CC285" s="207">
        <v>2628.99</v>
      </c>
      <c r="CD285" s="207">
        <v>111420.98224633394</v>
      </c>
      <c r="CE285" s="207">
        <v>1200955.916659244</v>
      </c>
      <c r="CF285" s="207">
        <v>-3961597.2986078914</v>
      </c>
      <c r="CG285" s="207">
        <v>1166654.198877388</v>
      </c>
      <c r="CH285" s="207">
        <v>1482810.7283447182</v>
      </c>
      <c r="CI285" s="207">
        <v>0</v>
      </c>
      <c r="CJ285" s="207">
        <v>-1183676.7643115148</v>
      </c>
      <c r="CK285" s="207">
        <v>-2882621</v>
      </c>
      <c r="CL285" s="207">
        <v>858123.9599999998</v>
      </c>
      <c r="CM285" s="207">
        <v>736931.3340000001</v>
      </c>
      <c r="CN285" s="207">
        <v>121192.6259999997</v>
      </c>
      <c r="CO285" s="207">
        <v>18158625.447327696</v>
      </c>
      <c r="CP285" s="207">
        <v>23110771.241102777</v>
      </c>
      <c r="CQ285" s="207">
        <v>29054</v>
      </c>
    </row>
    <row r="286" spans="1:95" ht="11.25">
      <c r="A286" s="207">
        <v>931</v>
      </c>
      <c r="B286" s="207" t="s">
        <v>342</v>
      </c>
      <c r="C286" s="207">
        <v>6264</v>
      </c>
      <c r="D286" s="207">
        <v>23563597.339999996</v>
      </c>
      <c r="E286" s="207">
        <v>12021959.292553656</v>
      </c>
      <c r="F286" s="207">
        <v>1922569.6831602224</v>
      </c>
      <c r="G286" s="207">
        <v>37508126.315713875</v>
      </c>
      <c r="H286" s="207">
        <v>3664.46</v>
      </c>
      <c r="I286" s="207">
        <v>22954177.44</v>
      </c>
      <c r="J286" s="207">
        <v>14553948.875713874</v>
      </c>
      <c r="K286" s="207">
        <v>2372576.9609771613</v>
      </c>
      <c r="L286" s="207">
        <v>-590567.1066295272</v>
      </c>
      <c r="M286" s="207">
        <v>0</v>
      </c>
      <c r="N286" s="207">
        <v>16335958.730061509</v>
      </c>
      <c r="O286" s="207">
        <v>5191168.511408353</v>
      </c>
      <c r="P286" s="207">
        <v>21527127.24146986</v>
      </c>
      <c r="Q286" s="207">
        <v>263</v>
      </c>
      <c r="R286" s="207">
        <v>43</v>
      </c>
      <c r="S286" s="207">
        <v>304</v>
      </c>
      <c r="T286" s="207">
        <v>178</v>
      </c>
      <c r="U286" s="207">
        <v>195</v>
      </c>
      <c r="V286" s="207">
        <v>3115</v>
      </c>
      <c r="W286" s="207">
        <v>1151</v>
      </c>
      <c r="X286" s="207">
        <v>709</v>
      </c>
      <c r="Y286" s="207">
        <v>306</v>
      </c>
      <c r="Z286" s="207">
        <v>9</v>
      </c>
      <c r="AA286" s="207">
        <v>0</v>
      </c>
      <c r="AB286" s="207">
        <v>6178</v>
      </c>
      <c r="AC286" s="207">
        <v>77</v>
      </c>
      <c r="AD286" s="207">
        <v>2166</v>
      </c>
      <c r="AE286" s="481">
        <v>1.6244567662182403</v>
      </c>
      <c r="AF286" s="207">
        <v>12021959.292553656</v>
      </c>
      <c r="AG286" s="207" t="e">
        <v>#DIV/0!</v>
      </c>
      <c r="AH286" s="207" t="e">
        <v>#DIV/0!</v>
      </c>
      <c r="AI286" s="207" t="e">
        <v>#DIV/0!</v>
      </c>
      <c r="AJ286" s="175">
        <v>309</v>
      </c>
      <c r="AK286" s="175">
        <v>2717</v>
      </c>
      <c r="AL286" s="175">
        <v>1.1657168655674792</v>
      </c>
      <c r="AM286" s="175">
        <v>77</v>
      </c>
      <c r="AN286" s="175">
        <v>0.012292464878671775</v>
      </c>
      <c r="AO286" s="175">
        <v>0.009011385768208778</v>
      </c>
      <c r="AP286" s="175">
        <v>0</v>
      </c>
      <c r="AQ286" s="175">
        <v>9</v>
      </c>
      <c r="AR286" s="175">
        <v>0</v>
      </c>
      <c r="AS286" s="175">
        <v>0</v>
      </c>
      <c r="AT286" s="175">
        <v>0</v>
      </c>
      <c r="AU286" s="175">
        <v>1248.55</v>
      </c>
      <c r="AV286" s="175">
        <v>5.017019742901766</v>
      </c>
      <c r="AW286" s="175">
        <v>3.6177896582115485</v>
      </c>
      <c r="AX286" s="175">
        <v>234</v>
      </c>
      <c r="AY286" s="175">
        <v>1530</v>
      </c>
      <c r="AZ286" s="175">
        <v>0.15294117647058825</v>
      </c>
      <c r="BA286" s="175">
        <v>0.09175734038635375</v>
      </c>
      <c r="BB286" s="175">
        <v>1.046533</v>
      </c>
      <c r="BC286" s="207">
        <v>2213</v>
      </c>
      <c r="BD286" s="175">
        <v>2201</v>
      </c>
      <c r="BE286" s="175">
        <v>1.0054520672421627</v>
      </c>
      <c r="BF286" s="175">
        <v>0.5965451846510696</v>
      </c>
      <c r="BG286" s="175">
        <v>0</v>
      </c>
      <c r="BH286" s="175">
        <v>0</v>
      </c>
      <c r="BI286" s="207">
        <v>0</v>
      </c>
      <c r="BJ286" s="207">
        <v>-1503.36</v>
      </c>
      <c r="BK286" s="207">
        <v>-25682.399999999998</v>
      </c>
      <c r="BL286" s="207">
        <v>-1753.92</v>
      </c>
      <c r="BM286" s="207">
        <v>0</v>
      </c>
      <c r="BN286" s="207">
        <v>0</v>
      </c>
      <c r="BO286" s="207">
        <v>142346</v>
      </c>
      <c r="BP286" s="207">
        <v>-340325.7638940532</v>
      </c>
      <c r="BQ286" s="207">
        <v>-266595.84</v>
      </c>
      <c r="BR286" s="207">
        <v>-29884.02446912974</v>
      </c>
      <c r="BS286" s="207">
        <v>657403</v>
      </c>
      <c r="BT286" s="207">
        <v>205740</v>
      </c>
      <c r="BU286" s="207">
        <v>515917.62991671666</v>
      </c>
      <c r="BV286" s="207">
        <v>27738.114858243203</v>
      </c>
      <c r="BW286" s="207">
        <v>74511.39124093392</v>
      </c>
      <c r="BX286" s="207">
        <v>279038.2165761009</v>
      </c>
      <c r="BY286" s="207">
        <v>384013.8091867772</v>
      </c>
      <c r="BZ286" s="207">
        <v>605953.8217100743</v>
      </c>
      <c r="CA286" s="207">
        <v>181857.56105457552</v>
      </c>
      <c r="CB286" s="207">
        <v>335745.7182726537</v>
      </c>
      <c r="CC286" s="207">
        <v>563.76</v>
      </c>
      <c r="CD286" s="207">
        <v>-16942.308781795873</v>
      </c>
      <c r="CE286" s="207">
        <v>431720.33726452605</v>
      </c>
      <c r="CF286" s="207">
        <v>-590567.1066295272</v>
      </c>
      <c r="CG286" s="207">
        <v>329435.5505154517</v>
      </c>
      <c r="CH286" s="207">
        <v>438572.3957063911</v>
      </c>
      <c r="CI286" s="207">
        <v>0</v>
      </c>
      <c r="CJ286" s="207">
        <v>5191168.511408353</v>
      </c>
      <c r="CK286" s="207">
        <v>-162388</v>
      </c>
      <c r="CL286" s="207">
        <v>110503.56999999999</v>
      </c>
      <c r="CM286" s="207">
        <v>182831.94</v>
      </c>
      <c r="CN286" s="207">
        <v>-72328.37000000001</v>
      </c>
      <c r="CO286" s="207">
        <v>21364739.24146986</v>
      </c>
      <c r="CP286" s="207">
        <v>23549567.11014203</v>
      </c>
      <c r="CQ286" s="207">
        <v>6411</v>
      </c>
    </row>
    <row r="287" spans="1:95" ht="11.25">
      <c r="A287" s="207">
        <v>934</v>
      </c>
      <c r="B287" s="207" t="s">
        <v>343</v>
      </c>
      <c r="C287" s="207">
        <v>2901</v>
      </c>
      <c r="D287" s="207">
        <v>11099478.46</v>
      </c>
      <c r="E287" s="207">
        <v>4408263.205947534</v>
      </c>
      <c r="F287" s="207">
        <v>472441.97045318666</v>
      </c>
      <c r="G287" s="207">
        <v>15980183.63640072</v>
      </c>
      <c r="H287" s="207">
        <v>3664.46</v>
      </c>
      <c r="I287" s="207">
        <v>10630598.46</v>
      </c>
      <c r="J287" s="207">
        <v>5349585.176400719</v>
      </c>
      <c r="K287" s="207">
        <v>85724.28388048994</v>
      </c>
      <c r="L287" s="207">
        <v>-219649.1763691673</v>
      </c>
      <c r="M287" s="207">
        <v>0</v>
      </c>
      <c r="N287" s="207">
        <v>5215660.283912042</v>
      </c>
      <c r="O287" s="207">
        <v>2116847.6071807994</v>
      </c>
      <c r="P287" s="207">
        <v>7332507.8910928415</v>
      </c>
      <c r="Q287" s="207">
        <v>128</v>
      </c>
      <c r="R287" s="207">
        <v>33</v>
      </c>
      <c r="S287" s="207">
        <v>191</v>
      </c>
      <c r="T287" s="207">
        <v>119</v>
      </c>
      <c r="U287" s="207">
        <v>107</v>
      </c>
      <c r="V287" s="207">
        <v>1500</v>
      </c>
      <c r="W287" s="207">
        <v>464</v>
      </c>
      <c r="X287" s="207">
        <v>232</v>
      </c>
      <c r="Y287" s="207">
        <v>127</v>
      </c>
      <c r="Z287" s="207">
        <v>3</v>
      </c>
      <c r="AA287" s="207">
        <v>0</v>
      </c>
      <c r="AB287" s="207">
        <v>2871</v>
      </c>
      <c r="AC287" s="207">
        <v>27</v>
      </c>
      <c r="AD287" s="207">
        <v>823</v>
      </c>
      <c r="AE287" s="481">
        <v>1.2861879657450166</v>
      </c>
      <c r="AF287" s="207">
        <v>4408263.205947534</v>
      </c>
      <c r="AG287" s="207" t="e">
        <v>#DIV/0!</v>
      </c>
      <c r="AH287" s="207" t="e">
        <v>#DIV/0!</v>
      </c>
      <c r="AI287" s="207" t="e">
        <v>#DIV/0!</v>
      </c>
      <c r="AJ287" s="175">
        <v>80</v>
      </c>
      <c r="AK287" s="175">
        <v>1257</v>
      </c>
      <c r="AL287" s="175">
        <v>0.6523474185975942</v>
      </c>
      <c r="AM287" s="175">
        <v>27</v>
      </c>
      <c r="AN287" s="175">
        <v>0.009307135470527405</v>
      </c>
      <c r="AO287" s="175">
        <v>0.006026056360064408</v>
      </c>
      <c r="AP287" s="175">
        <v>0</v>
      </c>
      <c r="AQ287" s="175">
        <v>3</v>
      </c>
      <c r="AR287" s="175">
        <v>0</v>
      </c>
      <c r="AS287" s="175">
        <v>0</v>
      </c>
      <c r="AT287" s="175">
        <v>0</v>
      </c>
      <c r="AU287" s="175">
        <v>287.32</v>
      </c>
      <c r="AV287" s="175">
        <v>10.09675622998747</v>
      </c>
      <c r="AW287" s="175">
        <v>1.7976587457866848</v>
      </c>
      <c r="AX287" s="175">
        <v>85</v>
      </c>
      <c r="AY287" s="175">
        <v>786</v>
      </c>
      <c r="AZ287" s="175">
        <v>0.10814249363867684</v>
      </c>
      <c r="BA287" s="175">
        <v>0.04695865755444235</v>
      </c>
      <c r="BB287" s="175">
        <v>0</v>
      </c>
      <c r="BC287" s="207">
        <v>950</v>
      </c>
      <c r="BD287" s="175">
        <v>1106</v>
      </c>
      <c r="BE287" s="175">
        <v>0.8589511754068716</v>
      </c>
      <c r="BF287" s="175">
        <v>0.4500442928157785</v>
      </c>
      <c r="BG287" s="175">
        <v>0</v>
      </c>
      <c r="BH287" s="175">
        <v>0</v>
      </c>
      <c r="BI287" s="207">
        <v>0</v>
      </c>
      <c r="BJ287" s="207">
        <v>-696.24</v>
      </c>
      <c r="BK287" s="207">
        <v>-11894.099999999999</v>
      </c>
      <c r="BL287" s="207">
        <v>-812.2800000000001</v>
      </c>
      <c r="BM287" s="207">
        <v>0</v>
      </c>
      <c r="BN287" s="207">
        <v>0</v>
      </c>
      <c r="BO287" s="207">
        <v>-23874</v>
      </c>
      <c r="BP287" s="207">
        <v>-91423.42576572872</v>
      </c>
      <c r="BQ287" s="207">
        <v>-123466.56000000001</v>
      </c>
      <c r="BR287" s="207">
        <v>62305.717786749825</v>
      </c>
      <c r="BS287" s="207">
        <v>269532</v>
      </c>
      <c r="BT287" s="207">
        <v>84479</v>
      </c>
      <c r="BU287" s="207">
        <v>192990.46542252702</v>
      </c>
      <c r="BV287" s="207">
        <v>11427.029083337118</v>
      </c>
      <c r="BW287" s="207">
        <v>35994.07553765644</v>
      </c>
      <c r="BX287" s="207">
        <v>114257.76571970747</v>
      </c>
      <c r="BY287" s="207">
        <v>156334.3171932257</v>
      </c>
      <c r="BZ287" s="207">
        <v>279271.3493261858</v>
      </c>
      <c r="CA287" s="207">
        <v>77610.9547093963</v>
      </c>
      <c r="CB287" s="207">
        <v>141793.0574650268</v>
      </c>
      <c r="CC287" s="207">
        <v>261.09</v>
      </c>
      <c r="CD287" s="207">
        <v>5686.654216304178</v>
      </c>
      <c r="CE287" s="207">
        <v>187606.11939656144</v>
      </c>
      <c r="CF287" s="207">
        <v>-219649.1763691673</v>
      </c>
      <c r="CG287" s="207">
        <v>140354.66739350744</v>
      </c>
      <c r="CH287" s="207">
        <v>185526.7206825189</v>
      </c>
      <c r="CI287" s="207">
        <v>0</v>
      </c>
      <c r="CJ287" s="207">
        <v>2116847.6071807994</v>
      </c>
      <c r="CK287" s="207">
        <v>-736054</v>
      </c>
      <c r="CL287" s="207">
        <v>0</v>
      </c>
      <c r="CM287" s="207">
        <v>2730413.0100000007</v>
      </c>
      <c r="CN287" s="207">
        <v>-2730413.0100000007</v>
      </c>
      <c r="CO287" s="207">
        <v>6596453.8910928415</v>
      </c>
      <c r="CP287" s="207">
        <v>7759475.1063401345</v>
      </c>
      <c r="CQ287" s="207">
        <v>2974</v>
      </c>
    </row>
    <row r="288" spans="1:95" ht="11.25">
      <c r="A288" s="207">
        <v>935</v>
      </c>
      <c r="B288" s="207" t="s">
        <v>344</v>
      </c>
      <c r="C288" s="207">
        <v>3150</v>
      </c>
      <c r="D288" s="207">
        <v>11587020.600000001</v>
      </c>
      <c r="E288" s="207">
        <v>5125802.574357912</v>
      </c>
      <c r="F288" s="207">
        <v>1081113.4340645059</v>
      </c>
      <c r="G288" s="207">
        <v>17793936.60842242</v>
      </c>
      <c r="H288" s="207">
        <v>3664.46</v>
      </c>
      <c r="I288" s="207">
        <v>11543049</v>
      </c>
      <c r="J288" s="207">
        <v>6250887.608422421</v>
      </c>
      <c r="K288" s="207">
        <v>159251.79918733315</v>
      </c>
      <c r="L288" s="207">
        <v>-243157.47813079634</v>
      </c>
      <c r="M288" s="207">
        <v>0</v>
      </c>
      <c r="N288" s="207">
        <v>6166981.929478958</v>
      </c>
      <c r="O288" s="207">
        <v>2222271.1178601445</v>
      </c>
      <c r="P288" s="207">
        <v>8389253.047339102</v>
      </c>
      <c r="Q288" s="207">
        <v>117</v>
      </c>
      <c r="R288" s="207">
        <v>22</v>
      </c>
      <c r="S288" s="207">
        <v>182</v>
      </c>
      <c r="T288" s="207">
        <v>119</v>
      </c>
      <c r="U288" s="207">
        <v>71</v>
      </c>
      <c r="V288" s="207">
        <v>1664</v>
      </c>
      <c r="W288" s="207">
        <v>545</v>
      </c>
      <c r="X288" s="207">
        <v>291</v>
      </c>
      <c r="Y288" s="207">
        <v>139</v>
      </c>
      <c r="Z288" s="207">
        <v>14</v>
      </c>
      <c r="AA288" s="207">
        <v>0</v>
      </c>
      <c r="AB288" s="207">
        <v>2938</v>
      </c>
      <c r="AC288" s="207">
        <v>198</v>
      </c>
      <c r="AD288" s="207">
        <v>975</v>
      </c>
      <c r="AE288" s="481">
        <v>1.3773235536794406</v>
      </c>
      <c r="AF288" s="207">
        <v>5125802.574357912</v>
      </c>
      <c r="AG288" s="207" t="e">
        <v>#DIV/0!</v>
      </c>
      <c r="AH288" s="207" t="e">
        <v>#DIV/0!</v>
      </c>
      <c r="AI288" s="207" t="e">
        <v>#DIV/0!</v>
      </c>
      <c r="AJ288" s="175">
        <v>149</v>
      </c>
      <c r="AK288" s="175">
        <v>1411</v>
      </c>
      <c r="AL288" s="175">
        <v>1.0823893078614386</v>
      </c>
      <c r="AM288" s="175">
        <v>198</v>
      </c>
      <c r="AN288" s="175">
        <v>0.06285714285714286</v>
      </c>
      <c r="AO288" s="175">
        <v>0.05957606374667986</v>
      </c>
      <c r="AP288" s="175">
        <v>0</v>
      </c>
      <c r="AQ288" s="175">
        <v>14</v>
      </c>
      <c r="AR288" s="175">
        <v>0</v>
      </c>
      <c r="AS288" s="175">
        <v>0</v>
      </c>
      <c r="AT288" s="175">
        <v>0</v>
      </c>
      <c r="AU288" s="175">
        <v>371.99</v>
      </c>
      <c r="AV288" s="175">
        <v>8.467969569074437</v>
      </c>
      <c r="AW288" s="175">
        <v>2.1434326130788226</v>
      </c>
      <c r="AX288" s="175">
        <v>147</v>
      </c>
      <c r="AY288" s="175">
        <v>926</v>
      </c>
      <c r="AZ288" s="175">
        <v>0.1587473002159827</v>
      </c>
      <c r="BA288" s="175">
        <v>0.09756346413174821</v>
      </c>
      <c r="BB288" s="175">
        <v>0.050733</v>
      </c>
      <c r="BC288" s="207">
        <v>1208</v>
      </c>
      <c r="BD288" s="175">
        <v>1194</v>
      </c>
      <c r="BE288" s="175">
        <v>1.0117252931323284</v>
      </c>
      <c r="BF288" s="175">
        <v>0.6028184105412353</v>
      </c>
      <c r="BG288" s="175">
        <v>0</v>
      </c>
      <c r="BH288" s="175">
        <v>0</v>
      </c>
      <c r="BI288" s="207">
        <v>0</v>
      </c>
      <c r="BJ288" s="207">
        <v>-756</v>
      </c>
      <c r="BK288" s="207">
        <v>-12914.999999999998</v>
      </c>
      <c r="BL288" s="207">
        <v>-882.0000000000001</v>
      </c>
      <c r="BM288" s="207">
        <v>0</v>
      </c>
      <c r="BN288" s="207">
        <v>0</v>
      </c>
      <c r="BO288" s="207">
        <v>-36833</v>
      </c>
      <c r="BP288" s="207">
        <v>-66713.26854024742</v>
      </c>
      <c r="BQ288" s="207">
        <v>-134064</v>
      </c>
      <c r="BR288" s="207">
        <v>62997.892044780776</v>
      </c>
      <c r="BS288" s="207">
        <v>336888</v>
      </c>
      <c r="BT288" s="207">
        <v>99871</v>
      </c>
      <c r="BU288" s="207">
        <v>256904.2450974227</v>
      </c>
      <c r="BV288" s="207">
        <v>13719.698860165583</v>
      </c>
      <c r="BW288" s="207">
        <v>-12878.79392371824</v>
      </c>
      <c r="BX288" s="207">
        <v>104242.25499510784</v>
      </c>
      <c r="BY288" s="207">
        <v>189902.3291538283</v>
      </c>
      <c r="BZ288" s="207">
        <v>282218.58446444175</v>
      </c>
      <c r="CA288" s="207">
        <v>89919.43398747403</v>
      </c>
      <c r="CB288" s="207">
        <v>149458.78541659366</v>
      </c>
      <c r="CC288" s="207">
        <v>283.5</v>
      </c>
      <c r="CD288" s="207">
        <v>-19355.542479651456</v>
      </c>
      <c r="CE288" s="207">
        <v>166496.29040945106</v>
      </c>
      <c r="CF288" s="207">
        <v>-243157.47813079634</v>
      </c>
      <c r="CG288" s="207">
        <v>156284.94084432174</v>
      </c>
      <c r="CH288" s="207">
        <v>217979.90373047</v>
      </c>
      <c r="CI288" s="207">
        <v>0</v>
      </c>
      <c r="CJ288" s="207">
        <v>2222271.1178601445</v>
      </c>
      <c r="CK288" s="207">
        <v>-211926</v>
      </c>
      <c r="CL288" s="207">
        <v>1432933.4000000001</v>
      </c>
      <c r="CM288" s="207">
        <v>136408.16999999998</v>
      </c>
      <c r="CN288" s="207">
        <v>1296525.2300000002</v>
      </c>
      <c r="CO288" s="207">
        <v>8177327.047339102</v>
      </c>
      <c r="CP288" s="207">
        <v>9456435.701040538</v>
      </c>
      <c r="CQ288" s="207">
        <v>3207</v>
      </c>
    </row>
    <row r="289" spans="1:95" ht="11.25">
      <c r="A289" s="207">
        <v>936</v>
      </c>
      <c r="B289" s="207" t="s">
        <v>345</v>
      </c>
      <c r="C289" s="207">
        <v>6739</v>
      </c>
      <c r="D289" s="207">
        <v>26364612.560000002</v>
      </c>
      <c r="E289" s="207">
        <v>11738412.518673047</v>
      </c>
      <c r="F289" s="207">
        <v>1832022.1116790539</v>
      </c>
      <c r="G289" s="207">
        <v>39935047.190352105</v>
      </c>
      <c r="H289" s="207">
        <v>3664.46</v>
      </c>
      <c r="I289" s="207">
        <v>24694795.94</v>
      </c>
      <c r="J289" s="207">
        <v>15240251.250352103</v>
      </c>
      <c r="K289" s="207">
        <v>896050.282981434</v>
      </c>
      <c r="L289" s="207">
        <v>-665587.7366067257</v>
      </c>
      <c r="M289" s="207">
        <v>0</v>
      </c>
      <c r="N289" s="207">
        <v>15470713.796726812</v>
      </c>
      <c r="O289" s="207">
        <v>5002236.455739217</v>
      </c>
      <c r="P289" s="207">
        <v>20472950.25246603</v>
      </c>
      <c r="Q289" s="207">
        <v>274</v>
      </c>
      <c r="R289" s="207">
        <v>54</v>
      </c>
      <c r="S289" s="207">
        <v>371</v>
      </c>
      <c r="T289" s="207">
        <v>202</v>
      </c>
      <c r="U289" s="207">
        <v>195</v>
      </c>
      <c r="V289" s="207">
        <v>3264</v>
      </c>
      <c r="W289" s="207">
        <v>1277</v>
      </c>
      <c r="X289" s="207">
        <v>732</v>
      </c>
      <c r="Y289" s="207">
        <v>370</v>
      </c>
      <c r="Z289" s="207">
        <v>7</v>
      </c>
      <c r="AA289" s="207">
        <v>0</v>
      </c>
      <c r="AB289" s="207">
        <v>6592</v>
      </c>
      <c r="AC289" s="207">
        <v>140</v>
      </c>
      <c r="AD289" s="207">
        <v>2379</v>
      </c>
      <c r="AE289" s="481">
        <v>1.4743431104614948</v>
      </c>
      <c r="AF289" s="207">
        <v>11738412.518673047</v>
      </c>
      <c r="AG289" s="207" t="e">
        <v>#DIV/0!</v>
      </c>
      <c r="AH289" s="207" t="e">
        <v>#DIV/0!</v>
      </c>
      <c r="AI289" s="207" t="e">
        <v>#DIV/0!</v>
      </c>
      <c r="AJ289" s="175">
        <v>229</v>
      </c>
      <c r="AK289" s="175">
        <v>2752</v>
      </c>
      <c r="AL289" s="175">
        <v>0.8529258788407215</v>
      </c>
      <c r="AM289" s="175">
        <v>140</v>
      </c>
      <c r="AN289" s="175">
        <v>0.020774595637334917</v>
      </c>
      <c r="AO289" s="175">
        <v>0.01749351652687192</v>
      </c>
      <c r="AP289" s="175">
        <v>0</v>
      </c>
      <c r="AQ289" s="175">
        <v>7</v>
      </c>
      <c r="AR289" s="175">
        <v>0</v>
      </c>
      <c r="AS289" s="175">
        <v>0</v>
      </c>
      <c r="AT289" s="175">
        <v>0</v>
      </c>
      <c r="AU289" s="175">
        <v>1162.65</v>
      </c>
      <c r="AV289" s="175">
        <v>5.796241345202769</v>
      </c>
      <c r="AW289" s="175">
        <v>3.1314296731165903</v>
      </c>
      <c r="AX289" s="175">
        <v>250</v>
      </c>
      <c r="AY289" s="175">
        <v>1740</v>
      </c>
      <c r="AZ289" s="175">
        <v>0.14367816091954022</v>
      </c>
      <c r="BA289" s="175">
        <v>0.08249432483530572</v>
      </c>
      <c r="BB289" s="175">
        <v>0.447482</v>
      </c>
      <c r="BC289" s="207">
        <v>2235</v>
      </c>
      <c r="BD289" s="175">
        <v>2329</v>
      </c>
      <c r="BE289" s="175">
        <v>0.9596393301846285</v>
      </c>
      <c r="BF289" s="175">
        <v>0.5507324475935355</v>
      </c>
      <c r="BG289" s="175">
        <v>0</v>
      </c>
      <c r="BH289" s="175">
        <v>0</v>
      </c>
      <c r="BI289" s="207">
        <v>0</v>
      </c>
      <c r="BJ289" s="207">
        <v>-1617.36</v>
      </c>
      <c r="BK289" s="207">
        <v>-27629.899999999998</v>
      </c>
      <c r="BL289" s="207">
        <v>-1886.92</v>
      </c>
      <c r="BM289" s="207">
        <v>0</v>
      </c>
      <c r="BN289" s="207">
        <v>0</v>
      </c>
      <c r="BO289" s="207">
        <v>-107812</v>
      </c>
      <c r="BP289" s="207">
        <v>-186902.1249703096</v>
      </c>
      <c r="BQ289" s="207">
        <v>-286811.84</v>
      </c>
      <c r="BR289" s="207">
        <v>46812.20847382769</v>
      </c>
      <c r="BS289" s="207">
        <v>704678</v>
      </c>
      <c r="BT289" s="207">
        <v>221566</v>
      </c>
      <c r="BU289" s="207">
        <v>572270.7166943942</v>
      </c>
      <c r="BV289" s="207">
        <v>29515.069544133108</v>
      </c>
      <c r="BW289" s="207">
        <v>92555.46064005131</v>
      </c>
      <c r="BX289" s="207">
        <v>283008.96376369183</v>
      </c>
      <c r="BY289" s="207">
        <v>392803.3649215729</v>
      </c>
      <c r="BZ289" s="207">
        <v>629761.4540615771</v>
      </c>
      <c r="CA289" s="207">
        <v>183218.23571596757</v>
      </c>
      <c r="CB289" s="207">
        <v>336766.08582241257</v>
      </c>
      <c r="CC289" s="207">
        <v>606.51</v>
      </c>
      <c r="CD289" s="207">
        <v>-42040.31518150049</v>
      </c>
      <c r="CE289" s="207">
        <v>254989.318363584</v>
      </c>
      <c r="CF289" s="207">
        <v>-665587.7366067257</v>
      </c>
      <c r="CG289" s="207">
        <v>350751.30507125676</v>
      </c>
      <c r="CH289" s="207">
        <v>456185.16159147554</v>
      </c>
      <c r="CI289" s="207">
        <v>0</v>
      </c>
      <c r="CJ289" s="207">
        <v>5002236.455739217</v>
      </c>
      <c r="CK289" s="207">
        <v>270900</v>
      </c>
      <c r="CL289" s="207">
        <v>139339.48</v>
      </c>
      <c r="CM289" s="207">
        <v>89398.13799999999</v>
      </c>
      <c r="CN289" s="207">
        <v>49941.34200000002</v>
      </c>
      <c r="CO289" s="207">
        <v>20743850.25246603</v>
      </c>
      <c r="CP289" s="207">
        <v>22840130.250615813</v>
      </c>
      <c r="CQ289" s="207">
        <v>6844</v>
      </c>
    </row>
    <row r="290" spans="1:95" ht="11.25">
      <c r="A290" s="207">
        <v>946</v>
      </c>
      <c r="B290" s="207" t="s">
        <v>346</v>
      </c>
      <c r="C290" s="207">
        <v>6613</v>
      </c>
      <c r="D290" s="207">
        <v>25766527.969999995</v>
      </c>
      <c r="E290" s="207">
        <v>6813369.554935648</v>
      </c>
      <c r="F290" s="207">
        <v>3675222.1029438158</v>
      </c>
      <c r="G290" s="207">
        <v>36255119.62787946</v>
      </c>
      <c r="H290" s="207">
        <v>3664.46</v>
      </c>
      <c r="I290" s="207">
        <v>24233073.98</v>
      </c>
      <c r="J290" s="207">
        <v>12022045.647879463</v>
      </c>
      <c r="K290" s="207">
        <v>197162.86395161095</v>
      </c>
      <c r="L290" s="207">
        <v>-134054.84956973197</v>
      </c>
      <c r="M290" s="207">
        <v>0</v>
      </c>
      <c r="N290" s="207">
        <v>12085153.66226134</v>
      </c>
      <c r="O290" s="207">
        <v>4346380.260379149</v>
      </c>
      <c r="P290" s="207">
        <v>16431533.92264049</v>
      </c>
      <c r="Q290" s="207">
        <v>455</v>
      </c>
      <c r="R290" s="207">
        <v>84</v>
      </c>
      <c r="S290" s="207">
        <v>492</v>
      </c>
      <c r="T290" s="207">
        <v>216</v>
      </c>
      <c r="U290" s="207">
        <v>202</v>
      </c>
      <c r="V290" s="207">
        <v>3488</v>
      </c>
      <c r="W290" s="207">
        <v>887</v>
      </c>
      <c r="X290" s="207">
        <v>507</v>
      </c>
      <c r="Y290" s="207">
        <v>282</v>
      </c>
      <c r="Z290" s="207">
        <v>5327</v>
      </c>
      <c r="AA290" s="207">
        <v>0</v>
      </c>
      <c r="AB290" s="207">
        <v>834</v>
      </c>
      <c r="AC290" s="207">
        <v>452</v>
      </c>
      <c r="AD290" s="207">
        <v>1676</v>
      </c>
      <c r="AE290" s="481">
        <v>0.8720634330281464</v>
      </c>
      <c r="AF290" s="207">
        <v>6813369.554935648</v>
      </c>
      <c r="AG290" s="207" t="e">
        <v>#DIV/0!</v>
      </c>
      <c r="AH290" s="207" t="e">
        <v>#DIV/0!</v>
      </c>
      <c r="AI290" s="207" t="e">
        <v>#DIV/0!</v>
      </c>
      <c r="AJ290" s="175">
        <v>167</v>
      </c>
      <c r="AK290" s="175">
        <v>3084</v>
      </c>
      <c r="AL290" s="175">
        <v>0.555042630368792</v>
      </c>
      <c r="AM290" s="175">
        <v>452</v>
      </c>
      <c r="AN290" s="175">
        <v>0.06835021926508393</v>
      </c>
      <c r="AO290" s="175">
        <v>0.06506914015462094</v>
      </c>
      <c r="AP290" s="175">
        <v>3</v>
      </c>
      <c r="AQ290" s="175">
        <v>5327</v>
      </c>
      <c r="AR290" s="175">
        <v>0</v>
      </c>
      <c r="AS290" s="175">
        <v>3</v>
      </c>
      <c r="AT290" s="175">
        <v>572</v>
      </c>
      <c r="AU290" s="175">
        <v>782.14</v>
      </c>
      <c r="AV290" s="175">
        <v>8.455008054823944</v>
      </c>
      <c r="AW290" s="175">
        <v>2.1467184919543065</v>
      </c>
      <c r="AX290" s="175">
        <v>266</v>
      </c>
      <c r="AY290" s="175">
        <v>1867</v>
      </c>
      <c r="AZ290" s="175">
        <v>0.1424745581146224</v>
      </c>
      <c r="BA290" s="175">
        <v>0.0812907220303879</v>
      </c>
      <c r="BB290" s="175">
        <v>0</v>
      </c>
      <c r="BC290" s="207">
        <v>2450</v>
      </c>
      <c r="BD290" s="175">
        <v>2839</v>
      </c>
      <c r="BE290" s="175">
        <v>0.8629799225079253</v>
      </c>
      <c r="BF290" s="175">
        <v>0.45407303991683223</v>
      </c>
      <c r="BG290" s="175">
        <v>0</v>
      </c>
      <c r="BH290" s="175">
        <v>0</v>
      </c>
      <c r="BI290" s="207">
        <v>0</v>
      </c>
      <c r="BJ290" s="207">
        <v>-1587.12</v>
      </c>
      <c r="BK290" s="207">
        <v>-27113.3</v>
      </c>
      <c r="BL290" s="207">
        <v>-1851.64</v>
      </c>
      <c r="BM290" s="207">
        <v>0</v>
      </c>
      <c r="BN290" s="207">
        <v>0</v>
      </c>
      <c r="BO290" s="207">
        <v>-66992</v>
      </c>
      <c r="BP290" s="207">
        <v>-104369.28525416656</v>
      </c>
      <c r="BQ290" s="207">
        <v>-281449.28</v>
      </c>
      <c r="BR290" s="207">
        <v>511241.87484688405</v>
      </c>
      <c r="BS290" s="207">
        <v>610295</v>
      </c>
      <c r="BT290" s="207">
        <v>210910</v>
      </c>
      <c r="BU290" s="207">
        <v>522557.84133206314</v>
      </c>
      <c r="BV290" s="207">
        <v>25585.96697163288</v>
      </c>
      <c r="BW290" s="207">
        <v>37399.76454258622</v>
      </c>
      <c r="BX290" s="207">
        <v>185934.4408685002</v>
      </c>
      <c r="BY290" s="207">
        <v>417285.97748930304</v>
      </c>
      <c r="BZ290" s="207">
        <v>673219.1528353889</v>
      </c>
      <c r="CA290" s="207">
        <v>203127.87166159455</v>
      </c>
      <c r="CB290" s="207">
        <v>332366.8078289041</v>
      </c>
      <c r="CC290" s="207">
        <v>595.17</v>
      </c>
      <c r="CD290" s="207">
        <v>-79550.5059135086</v>
      </c>
      <c r="CE290" s="207">
        <v>690271.7456844347</v>
      </c>
      <c r="CF290" s="207">
        <v>-134054.84956973197</v>
      </c>
      <c r="CG290" s="207">
        <v>318430.3367510591</v>
      </c>
      <c r="CH290" s="207">
        <v>479106.7995418992</v>
      </c>
      <c r="CI290" s="207">
        <v>0</v>
      </c>
      <c r="CJ290" s="207">
        <v>4346380.260379149</v>
      </c>
      <c r="CK290" s="207">
        <v>273552</v>
      </c>
      <c r="CL290" s="207">
        <v>271316.60000000003</v>
      </c>
      <c r="CM290" s="207">
        <v>245548.34000000003</v>
      </c>
      <c r="CN290" s="207">
        <v>25768.26000000001</v>
      </c>
      <c r="CO290" s="207">
        <v>16705085.92264049</v>
      </c>
      <c r="CP290" s="207">
        <v>18441240.307583578</v>
      </c>
      <c r="CQ290" s="207">
        <v>6616</v>
      </c>
    </row>
    <row r="291" spans="1:95" ht="11.25">
      <c r="A291" s="207">
        <v>976</v>
      </c>
      <c r="B291" s="207" t="s">
        <v>347</v>
      </c>
      <c r="C291" s="207">
        <v>4022</v>
      </c>
      <c r="D291" s="207">
        <v>15543392.420000002</v>
      </c>
      <c r="E291" s="207">
        <v>7103512.815229091</v>
      </c>
      <c r="F291" s="207">
        <v>2225094.7262450554</v>
      </c>
      <c r="G291" s="207">
        <v>24871999.96147415</v>
      </c>
      <c r="H291" s="207">
        <v>3664.46</v>
      </c>
      <c r="I291" s="207">
        <v>14738458.120000001</v>
      </c>
      <c r="J291" s="207">
        <v>10133541.84147415</v>
      </c>
      <c r="K291" s="207">
        <v>4231567.184285396</v>
      </c>
      <c r="L291" s="207">
        <v>-396920.87774112413</v>
      </c>
      <c r="M291" s="207">
        <v>0</v>
      </c>
      <c r="N291" s="207">
        <v>13968188.14801842</v>
      </c>
      <c r="O291" s="207">
        <v>3481071.9408458644</v>
      </c>
      <c r="P291" s="207">
        <v>17449260.088864285</v>
      </c>
      <c r="Q291" s="207">
        <v>133</v>
      </c>
      <c r="R291" s="207">
        <v>24</v>
      </c>
      <c r="S291" s="207">
        <v>192</v>
      </c>
      <c r="T291" s="207">
        <v>99</v>
      </c>
      <c r="U291" s="207">
        <v>132</v>
      </c>
      <c r="V291" s="207">
        <v>1977</v>
      </c>
      <c r="W291" s="207">
        <v>734</v>
      </c>
      <c r="X291" s="207">
        <v>496</v>
      </c>
      <c r="Y291" s="207">
        <v>235</v>
      </c>
      <c r="Z291" s="207">
        <v>22</v>
      </c>
      <c r="AA291" s="207">
        <v>4</v>
      </c>
      <c r="AB291" s="207">
        <v>3916</v>
      </c>
      <c r="AC291" s="207">
        <v>80</v>
      </c>
      <c r="AD291" s="207">
        <v>1465</v>
      </c>
      <c r="AE291" s="481">
        <v>1.4949124382381076</v>
      </c>
      <c r="AF291" s="207">
        <v>7103512.815229091</v>
      </c>
      <c r="AG291" s="207" t="e">
        <v>#DIV/0!</v>
      </c>
      <c r="AH291" s="207" t="e">
        <v>#DIV/0!</v>
      </c>
      <c r="AI291" s="207" t="e">
        <v>#DIV/0!</v>
      </c>
      <c r="AJ291" s="175">
        <v>199</v>
      </c>
      <c r="AK291" s="175">
        <v>1706</v>
      </c>
      <c r="AL291" s="175">
        <v>1.1956340880001317</v>
      </c>
      <c r="AM291" s="175">
        <v>80</v>
      </c>
      <c r="AN291" s="175">
        <v>0.019890601690701143</v>
      </c>
      <c r="AO291" s="175">
        <v>0.016609522580238147</v>
      </c>
      <c r="AP291" s="175">
        <v>0</v>
      </c>
      <c r="AQ291" s="175">
        <v>22</v>
      </c>
      <c r="AR291" s="175">
        <v>4</v>
      </c>
      <c r="AS291" s="175">
        <v>0</v>
      </c>
      <c r="AT291" s="175">
        <v>0</v>
      </c>
      <c r="AU291" s="175">
        <v>2028.04</v>
      </c>
      <c r="AV291" s="175">
        <v>1.983195597719966</v>
      </c>
      <c r="AW291" s="175">
        <v>9.152159354216199</v>
      </c>
      <c r="AX291" s="175">
        <v>156</v>
      </c>
      <c r="AY291" s="175">
        <v>915</v>
      </c>
      <c r="AZ291" s="175">
        <v>0.17049180327868851</v>
      </c>
      <c r="BA291" s="175">
        <v>0.10930796719445401</v>
      </c>
      <c r="BB291" s="175">
        <v>1.567</v>
      </c>
      <c r="BC291" s="207">
        <v>1350</v>
      </c>
      <c r="BD291" s="175">
        <v>1430</v>
      </c>
      <c r="BE291" s="175">
        <v>0.9440559440559441</v>
      </c>
      <c r="BF291" s="175">
        <v>0.535149061464851</v>
      </c>
      <c r="BG291" s="175">
        <v>0</v>
      </c>
      <c r="BH291" s="175">
        <v>4</v>
      </c>
      <c r="BI291" s="207">
        <v>0</v>
      </c>
      <c r="BJ291" s="207">
        <v>-965.28</v>
      </c>
      <c r="BK291" s="207">
        <v>-16490.199999999997</v>
      </c>
      <c r="BL291" s="207">
        <v>-1126.16</v>
      </c>
      <c r="BM291" s="207">
        <v>0</v>
      </c>
      <c r="BN291" s="207">
        <v>0</v>
      </c>
      <c r="BO291" s="207">
        <v>-68703</v>
      </c>
      <c r="BP291" s="207">
        <v>-46681.845660905645</v>
      </c>
      <c r="BQ291" s="207">
        <v>-171176.32</v>
      </c>
      <c r="BR291" s="207">
        <v>-68346.25052626431</v>
      </c>
      <c r="BS291" s="207">
        <v>449076</v>
      </c>
      <c r="BT291" s="207">
        <v>136608</v>
      </c>
      <c r="BU291" s="207">
        <v>360895.7856342601</v>
      </c>
      <c r="BV291" s="207">
        <v>19702.819711007938</v>
      </c>
      <c r="BW291" s="207">
        <v>42803.14343171017</v>
      </c>
      <c r="BX291" s="207">
        <v>150987.586605333</v>
      </c>
      <c r="BY291" s="207">
        <v>227803.8682606217</v>
      </c>
      <c r="BZ291" s="207">
        <v>354584.16249509755</v>
      </c>
      <c r="CA291" s="207">
        <v>106931.08118637609</v>
      </c>
      <c r="CB291" s="207">
        <v>191894.80090218593</v>
      </c>
      <c r="CC291" s="207">
        <v>361.97999999999996</v>
      </c>
      <c r="CD291" s="207">
        <v>1889.7106935028714</v>
      </c>
      <c r="CE291" s="207">
        <v>87636.10791978156</v>
      </c>
      <c r="CF291" s="207">
        <v>-396920.87774112413</v>
      </c>
      <c r="CG291" s="207">
        <v>218451.887752543</v>
      </c>
      <c r="CH291" s="207">
        <v>266654.05012756033</v>
      </c>
      <c r="CI291" s="207">
        <v>0</v>
      </c>
      <c r="CJ291" s="207">
        <v>3481071.9408458644</v>
      </c>
      <c r="CK291" s="207">
        <v>-596845</v>
      </c>
      <c r="CL291" s="207">
        <v>76350.4</v>
      </c>
      <c r="CM291" s="207">
        <v>122706</v>
      </c>
      <c r="CN291" s="207">
        <v>-46355.600000000006</v>
      </c>
      <c r="CO291" s="207">
        <v>16852415.088864285</v>
      </c>
      <c r="CP291" s="207">
        <v>17931206.760991666</v>
      </c>
      <c r="CQ291" s="207">
        <v>4118</v>
      </c>
    </row>
    <row r="292" spans="1:95" ht="11.25">
      <c r="A292" s="207">
        <v>977</v>
      </c>
      <c r="B292" s="207" t="s">
        <v>348</v>
      </c>
      <c r="C292" s="207">
        <v>15212</v>
      </c>
      <c r="D292" s="207">
        <v>57496766.580000006</v>
      </c>
      <c r="E292" s="207">
        <v>21799193.58489228</v>
      </c>
      <c r="F292" s="207">
        <v>2272511.75552686</v>
      </c>
      <c r="G292" s="207">
        <v>81568471.92041914</v>
      </c>
      <c r="H292" s="207">
        <v>3664.46</v>
      </c>
      <c r="I292" s="207">
        <v>55743765.52</v>
      </c>
      <c r="J292" s="207">
        <v>25824706.40041914</v>
      </c>
      <c r="K292" s="207">
        <v>664103.6767489391</v>
      </c>
      <c r="L292" s="207">
        <v>-1319450.4770755856</v>
      </c>
      <c r="M292" s="207">
        <v>0</v>
      </c>
      <c r="N292" s="207">
        <v>25169359.600092493</v>
      </c>
      <c r="O292" s="207">
        <v>9696758.915086491</v>
      </c>
      <c r="P292" s="207">
        <v>34866118.515178986</v>
      </c>
      <c r="Q292" s="207">
        <v>1290</v>
      </c>
      <c r="R292" s="207">
        <v>236</v>
      </c>
      <c r="S292" s="207">
        <v>1315</v>
      </c>
      <c r="T292" s="207">
        <v>616</v>
      </c>
      <c r="U292" s="207">
        <v>595</v>
      </c>
      <c r="V292" s="207">
        <v>8236</v>
      </c>
      <c r="W292" s="207">
        <v>1692</v>
      </c>
      <c r="X292" s="207">
        <v>868</v>
      </c>
      <c r="Y292" s="207">
        <v>364</v>
      </c>
      <c r="Z292" s="207">
        <v>42</v>
      </c>
      <c r="AA292" s="207">
        <v>1</v>
      </c>
      <c r="AB292" s="207">
        <v>14958</v>
      </c>
      <c r="AC292" s="207">
        <v>211</v>
      </c>
      <c r="AD292" s="207">
        <v>2924</v>
      </c>
      <c r="AE292" s="481">
        <v>1.2129384538210781</v>
      </c>
      <c r="AF292" s="207">
        <v>21799193.58489228</v>
      </c>
      <c r="AG292" s="207" t="e">
        <v>#DIV/0!</v>
      </c>
      <c r="AH292" s="207" t="e">
        <v>#DIV/0!</v>
      </c>
      <c r="AI292" s="207" t="e">
        <v>#DIV/0!</v>
      </c>
      <c r="AJ292" s="175">
        <v>641</v>
      </c>
      <c r="AK292" s="175">
        <v>6896</v>
      </c>
      <c r="AL292" s="175">
        <v>0.9527632903468852</v>
      </c>
      <c r="AM292" s="175">
        <v>211</v>
      </c>
      <c r="AN292" s="175">
        <v>0.013870628451222718</v>
      </c>
      <c r="AO292" s="175">
        <v>0.010589549340759723</v>
      </c>
      <c r="AP292" s="175">
        <v>0</v>
      </c>
      <c r="AQ292" s="175">
        <v>42</v>
      </c>
      <c r="AR292" s="175">
        <v>1</v>
      </c>
      <c r="AS292" s="175">
        <v>0</v>
      </c>
      <c r="AT292" s="175">
        <v>0</v>
      </c>
      <c r="AU292" s="175">
        <v>568.89</v>
      </c>
      <c r="AV292" s="175">
        <v>26.73979152384468</v>
      </c>
      <c r="AW292" s="175">
        <v>0.6787832330228829</v>
      </c>
      <c r="AX292" s="175">
        <v>410</v>
      </c>
      <c r="AY292" s="175">
        <v>4320</v>
      </c>
      <c r="AZ292" s="175">
        <v>0.09490740740740741</v>
      </c>
      <c r="BA292" s="175">
        <v>0.03372357132317292</v>
      </c>
      <c r="BB292" s="175">
        <v>0</v>
      </c>
      <c r="BC292" s="207">
        <v>6417</v>
      </c>
      <c r="BD292" s="175">
        <v>5976</v>
      </c>
      <c r="BE292" s="175">
        <v>1.0737951807228916</v>
      </c>
      <c r="BF292" s="175">
        <v>0.6648882981317985</v>
      </c>
      <c r="BG292" s="175">
        <v>0</v>
      </c>
      <c r="BH292" s="175">
        <v>1</v>
      </c>
      <c r="BI292" s="207">
        <v>0</v>
      </c>
      <c r="BJ292" s="207">
        <v>-3650.8799999999997</v>
      </c>
      <c r="BK292" s="207">
        <v>-62369.2</v>
      </c>
      <c r="BL292" s="207">
        <v>-4259.360000000001</v>
      </c>
      <c r="BM292" s="207">
        <v>0</v>
      </c>
      <c r="BN292" s="207">
        <v>0</v>
      </c>
      <c r="BO292" s="207">
        <v>55920</v>
      </c>
      <c r="BP292" s="207">
        <v>-563941.7356041534</v>
      </c>
      <c r="BQ292" s="207">
        <v>-647422.7200000001</v>
      </c>
      <c r="BR292" s="207">
        <v>31894.618232842535</v>
      </c>
      <c r="BS292" s="207">
        <v>1105522</v>
      </c>
      <c r="BT292" s="207">
        <v>359322</v>
      </c>
      <c r="BU292" s="207">
        <v>800309.0794281153</v>
      </c>
      <c r="BV292" s="207">
        <v>28657.374442731707</v>
      </c>
      <c r="BW292" s="207">
        <v>20607.3296960915</v>
      </c>
      <c r="BX292" s="207">
        <v>400458.4208793326</v>
      </c>
      <c r="BY292" s="207">
        <v>780849.606266519</v>
      </c>
      <c r="BZ292" s="207">
        <v>1163766.1274462175</v>
      </c>
      <c r="CA292" s="207">
        <v>327230.91446480615</v>
      </c>
      <c r="CB292" s="207">
        <v>644902.1475982037</v>
      </c>
      <c r="CC292" s="207">
        <v>1369.08</v>
      </c>
      <c r="CD292" s="207">
        <v>79958.58428307927</v>
      </c>
      <c r="CE292" s="207">
        <v>900621.6985285677</v>
      </c>
      <c r="CF292" s="207">
        <v>-1319450.4770755856</v>
      </c>
      <c r="CG292" s="207">
        <v>716419.5360126459</v>
      </c>
      <c r="CH292" s="207">
        <v>881416.7187482608</v>
      </c>
      <c r="CI292" s="207">
        <v>0</v>
      </c>
      <c r="CJ292" s="207">
        <v>9696758.915086491</v>
      </c>
      <c r="CK292" s="207">
        <v>245714</v>
      </c>
      <c r="CL292" s="207">
        <v>477462.68</v>
      </c>
      <c r="CM292" s="207">
        <v>233141.40000000005</v>
      </c>
      <c r="CN292" s="207">
        <v>244321.27999999994</v>
      </c>
      <c r="CO292" s="207">
        <v>35111832.515178986</v>
      </c>
      <c r="CP292" s="207">
        <v>37347686.48296569</v>
      </c>
      <c r="CQ292" s="207">
        <v>15251</v>
      </c>
    </row>
    <row r="293" spans="1:95" ht="11.25">
      <c r="A293" s="207">
        <v>980</v>
      </c>
      <c r="B293" s="207" t="s">
        <v>349</v>
      </c>
      <c r="C293" s="207">
        <v>32983</v>
      </c>
      <c r="D293" s="207">
        <v>120793764.80000001</v>
      </c>
      <c r="E293" s="207">
        <v>29841804.669732165</v>
      </c>
      <c r="F293" s="207">
        <v>4720767.956613107</v>
      </c>
      <c r="G293" s="207">
        <v>155356337.42634526</v>
      </c>
      <c r="H293" s="207">
        <v>3664.46</v>
      </c>
      <c r="I293" s="207">
        <v>120864884.18</v>
      </c>
      <c r="J293" s="207">
        <v>34491453.24634525</v>
      </c>
      <c r="K293" s="207">
        <v>508969.71728970483</v>
      </c>
      <c r="L293" s="207">
        <v>-3850464.564648851</v>
      </c>
      <c r="M293" s="207">
        <v>0</v>
      </c>
      <c r="N293" s="207">
        <v>31149958.3989861</v>
      </c>
      <c r="O293" s="207">
        <v>6760443.770153026</v>
      </c>
      <c r="P293" s="207">
        <v>37910402.169139124</v>
      </c>
      <c r="Q293" s="207">
        <v>2561</v>
      </c>
      <c r="R293" s="207">
        <v>553</v>
      </c>
      <c r="S293" s="207">
        <v>3035</v>
      </c>
      <c r="T293" s="207">
        <v>1429</v>
      </c>
      <c r="U293" s="207">
        <v>1269</v>
      </c>
      <c r="V293" s="207">
        <v>18337</v>
      </c>
      <c r="W293" s="207">
        <v>3489</v>
      </c>
      <c r="X293" s="207">
        <v>1726</v>
      </c>
      <c r="Y293" s="207">
        <v>584</v>
      </c>
      <c r="Z293" s="207">
        <v>114</v>
      </c>
      <c r="AA293" s="207">
        <v>0</v>
      </c>
      <c r="AB293" s="207">
        <v>32081</v>
      </c>
      <c r="AC293" s="207">
        <v>788</v>
      </c>
      <c r="AD293" s="207">
        <v>5799</v>
      </c>
      <c r="AE293" s="481">
        <v>0.7658074411426871</v>
      </c>
      <c r="AF293" s="207">
        <v>29841804.669732165</v>
      </c>
      <c r="AG293" s="207" t="e">
        <v>#DIV/0!</v>
      </c>
      <c r="AH293" s="207" t="e">
        <v>#DIV/0!</v>
      </c>
      <c r="AI293" s="207" t="e">
        <v>#DIV/0!</v>
      </c>
      <c r="AJ293" s="175">
        <v>1069</v>
      </c>
      <c r="AK293" s="175">
        <v>15843</v>
      </c>
      <c r="AL293" s="175">
        <v>0.6916151879650326</v>
      </c>
      <c r="AM293" s="175">
        <v>788</v>
      </c>
      <c r="AN293" s="175">
        <v>0.023891095412788405</v>
      </c>
      <c r="AO293" s="175">
        <v>0.02061001630232541</v>
      </c>
      <c r="AP293" s="175">
        <v>0</v>
      </c>
      <c r="AQ293" s="175">
        <v>114</v>
      </c>
      <c r="AR293" s="175">
        <v>0</v>
      </c>
      <c r="AS293" s="175">
        <v>0</v>
      </c>
      <c r="AT293" s="175">
        <v>0</v>
      </c>
      <c r="AU293" s="175">
        <v>1115.64</v>
      </c>
      <c r="AV293" s="175">
        <v>29.564196335735538</v>
      </c>
      <c r="AW293" s="175">
        <v>0.6139359221807711</v>
      </c>
      <c r="AX293" s="175">
        <v>1069</v>
      </c>
      <c r="AY293" s="175">
        <v>11152</v>
      </c>
      <c r="AZ293" s="175">
        <v>0.09585724533715925</v>
      </c>
      <c r="BA293" s="175">
        <v>0.03467340925292476</v>
      </c>
      <c r="BB293" s="175">
        <v>0</v>
      </c>
      <c r="BC293" s="207">
        <v>9004</v>
      </c>
      <c r="BD293" s="175">
        <v>13983</v>
      </c>
      <c r="BE293" s="175">
        <v>0.6439247657870271</v>
      </c>
      <c r="BF293" s="175">
        <v>0.23501788319593397</v>
      </c>
      <c r="BG293" s="175">
        <v>0</v>
      </c>
      <c r="BH293" s="175">
        <v>0</v>
      </c>
      <c r="BI293" s="207">
        <v>0</v>
      </c>
      <c r="BJ293" s="207">
        <v>-7915.92</v>
      </c>
      <c r="BK293" s="207">
        <v>-135230.3</v>
      </c>
      <c r="BL293" s="207">
        <v>-9235.240000000002</v>
      </c>
      <c r="BM293" s="207">
        <v>0</v>
      </c>
      <c r="BN293" s="207">
        <v>0</v>
      </c>
      <c r="BO293" s="207">
        <v>-15104</v>
      </c>
      <c r="BP293" s="207">
        <v>-1328232.2639278385</v>
      </c>
      <c r="BQ293" s="207">
        <v>-1403756.48</v>
      </c>
      <c r="BR293" s="207">
        <v>-347209.93432351947</v>
      </c>
      <c r="BS293" s="207">
        <v>2053006</v>
      </c>
      <c r="BT293" s="207">
        <v>651254</v>
      </c>
      <c r="BU293" s="207">
        <v>1314597.2430768656</v>
      </c>
      <c r="BV293" s="207">
        <v>15734.767118453987</v>
      </c>
      <c r="BW293" s="207">
        <v>-104982.75987239247</v>
      </c>
      <c r="BX293" s="207">
        <v>676365.6684635072</v>
      </c>
      <c r="BY293" s="207">
        <v>1370714.847696324</v>
      </c>
      <c r="BZ293" s="207">
        <v>2239117.9938244843</v>
      </c>
      <c r="CA293" s="207">
        <v>579554.8540764924</v>
      </c>
      <c r="CB293" s="207">
        <v>1144350.8280256304</v>
      </c>
      <c r="CC293" s="207">
        <v>2968.47</v>
      </c>
      <c r="CD293" s="207">
        <v>30817.545606577274</v>
      </c>
      <c r="CE293" s="207">
        <v>1068626.9092789872</v>
      </c>
      <c r="CF293" s="207">
        <v>-3850464.564648851</v>
      </c>
      <c r="CG293" s="207">
        <v>1364501.6579959295</v>
      </c>
      <c r="CH293" s="207">
        <v>1564267.4050399368</v>
      </c>
      <c r="CI293" s="207">
        <v>0</v>
      </c>
      <c r="CJ293" s="207">
        <v>6760443.770153026</v>
      </c>
      <c r="CK293" s="207">
        <v>-3833874</v>
      </c>
      <c r="CL293" s="207">
        <v>683063.4000000003</v>
      </c>
      <c r="CM293" s="207">
        <v>1575449.6020000002</v>
      </c>
      <c r="CN293" s="207">
        <v>-892386.2019999999</v>
      </c>
      <c r="CO293" s="207">
        <v>34076528.169139124</v>
      </c>
      <c r="CP293" s="207">
        <v>39975265.69885765</v>
      </c>
      <c r="CQ293" s="207">
        <v>32878</v>
      </c>
    </row>
    <row r="294" spans="1:95" ht="11.25">
      <c r="A294" s="207">
        <v>981</v>
      </c>
      <c r="B294" s="207" t="s">
        <v>350</v>
      </c>
      <c r="C294" s="207">
        <v>2357</v>
      </c>
      <c r="D294" s="207">
        <v>8395022.42</v>
      </c>
      <c r="E294" s="207">
        <v>2392807.7047007317</v>
      </c>
      <c r="F294" s="207">
        <v>444284.2514860223</v>
      </c>
      <c r="G294" s="207">
        <v>11232114.376186755</v>
      </c>
      <c r="H294" s="207">
        <v>3664.46</v>
      </c>
      <c r="I294" s="207">
        <v>8637132.22</v>
      </c>
      <c r="J294" s="207">
        <v>2594982.156186754</v>
      </c>
      <c r="K294" s="207">
        <v>42257.92783888414</v>
      </c>
      <c r="L294" s="207">
        <v>-198362.67072620816</v>
      </c>
      <c r="M294" s="207">
        <v>0</v>
      </c>
      <c r="N294" s="207">
        <v>2438877.41329943</v>
      </c>
      <c r="O294" s="207">
        <v>1761524.7683540848</v>
      </c>
      <c r="P294" s="207">
        <v>4200402.1816535145</v>
      </c>
      <c r="Q294" s="207">
        <v>106</v>
      </c>
      <c r="R294" s="207">
        <v>19</v>
      </c>
      <c r="S294" s="207">
        <v>147</v>
      </c>
      <c r="T294" s="207">
        <v>75</v>
      </c>
      <c r="U294" s="207">
        <v>77</v>
      </c>
      <c r="V294" s="207">
        <v>1275</v>
      </c>
      <c r="W294" s="207">
        <v>388</v>
      </c>
      <c r="X294" s="207">
        <v>177</v>
      </c>
      <c r="Y294" s="207">
        <v>93</v>
      </c>
      <c r="Z294" s="207">
        <v>14</v>
      </c>
      <c r="AA294" s="207">
        <v>0</v>
      </c>
      <c r="AB294" s="207">
        <v>2301</v>
      </c>
      <c r="AC294" s="207">
        <v>42</v>
      </c>
      <c r="AD294" s="207">
        <v>658</v>
      </c>
      <c r="AE294" s="481">
        <v>0.8592763707141227</v>
      </c>
      <c r="AF294" s="207">
        <v>2392807.7047007317</v>
      </c>
      <c r="AG294" s="207" t="e">
        <v>#DIV/0!</v>
      </c>
      <c r="AH294" s="207" t="e">
        <v>#DIV/0!</v>
      </c>
      <c r="AI294" s="207" t="e">
        <v>#DIV/0!</v>
      </c>
      <c r="AJ294" s="175">
        <v>84</v>
      </c>
      <c r="AK294" s="175">
        <v>1105</v>
      </c>
      <c r="AL294" s="175">
        <v>0.7791861904398503</v>
      </c>
      <c r="AM294" s="175">
        <v>42</v>
      </c>
      <c r="AN294" s="175">
        <v>0.017819261773440814</v>
      </c>
      <c r="AO294" s="175">
        <v>0.014538182662977819</v>
      </c>
      <c r="AP294" s="175">
        <v>0</v>
      </c>
      <c r="AQ294" s="175">
        <v>14</v>
      </c>
      <c r="AR294" s="175">
        <v>0</v>
      </c>
      <c r="AS294" s="175">
        <v>0</v>
      </c>
      <c r="AT294" s="175">
        <v>0</v>
      </c>
      <c r="AU294" s="175">
        <v>182.76</v>
      </c>
      <c r="AV294" s="175">
        <v>12.89669511928212</v>
      </c>
      <c r="AW294" s="175">
        <v>1.407377779581371</v>
      </c>
      <c r="AX294" s="175">
        <v>96</v>
      </c>
      <c r="AY294" s="175">
        <v>689</v>
      </c>
      <c r="AZ294" s="175">
        <v>0.13933236574746008</v>
      </c>
      <c r="BA294" s="175">
        <v>0.07814852966322558</v>
      </c>
      <c r="BB294" s="175">
        <v>0</v>
      </c>
      <c r="BC294" s="207">
        <v>654</v>
      </c>
      <c r="BD294" s="175">
        <v>959</v>
      </c>
      <c r="BE294" s="175">
        <v>0.6819603753910324</v>
      </c>
      <c r="BF294" s="175">
        <v>0.2730534927999393</v>
      </c>
      <c r="BG294" s="175">
        <v>0</v>
      </c>
      <c r="BH294" s="175">
        <v>0</v>
      </c>
      <c r="BI294" s="207">
        <v>0</v>
      </c>
      <c r="BJ294" s="207">
        <v>-565.68</v>
      </c>
      <c r="BK294" s="207">
        <v>-9663.699999999999</v>
      </c>
      <c r="BL294" s="207">
        <v>-659.96</v>
      </c>
      <c r="BM294" s="207">
        <v>0</v>
      </c>
      <c r="BN294" s="207">
        <v>0</v>
      </c>
      <c r="BO294" s="207">
        <v>29176</v>
      </c>
      <c r="BP294" s="207">
        <v>-109171.3907736564</v>
      </c>
      <c r="BQ294" s="207">
        <v>-100313.92</v>
      </c>
      <c r="BR294" s="207">
        <v>26663.14650002122</v>
      </c>
      <c r="BS294" s="207">
        <v>230288</v>
      </c>
      <c r="BT294" s="207">
        <v>80816</v>
      </c>
      <c r="BU294" s="207">
        <v>184290.17484536598</v>
      </c>
      <c r="BV294" s="207">
        <v>9318.783464418157</v>
      </c>
      <c r="BW294" s="207">
        <v>30796.386826805596</v>
      </c>
      <c r="BX294" s="207">
        <v>74794.23220504644</v>
      </c>
      <c r="BY294" s="207">
        <v>147649.47010495246</v>
      </c>
      <c r="BZ294" s="207">
        <v>237874.01446903648</v>
      </c>
      <c r="CA294" s="207">
        <v>75569.26100283953</v>
      </c>
      <c r="CB294" s="207">
        <v>120196.89413887881</v>
      </c>
      <c r="CC294" s="207">
        <v>212.13</v>
      </c>
      <c r="CD294" s="207">
        <v>10378.44076473437</v>
      </c>
      <c r="CE294" s="207">
        <v>167415.31004744823</v>
      </c>
      <c r="CF294" s="207">
        <v>-198362.67072620816</v>
      </c>
      <c r="CG294" s="207">
        <v>98652.16278269266</v>
      </c>
      <c r="CH294" s="207">
        <v>174563.16287959655</v>
      </c>
      <c r="CI294" s="207">
        <v>0</v>
      </c>
      <c r="CJ294" s="207">
        <v>1761524.7683540848</v>
      </c>
      <c r="CK294" s="207">
        <v>-490002</v>
      </c>
      <c r="CL294" s="207">
        <v>4158.37</v>
      </c>
      <c r="CM294" s="207">
        <v>59989.600000000006</v>
      </c>
      <c r="CN294" s="207">
        <v>-55831.23</v>
      </c>
      <c r="CO294" s="207">
        <v>3710400.1816535145</v>
      </c>
      <c r="CP294" s="207">
        <v>4683069.494703932</v>
      </c>
      <c r="CQ294" s="207">
        <v>2372</v>
      </c>
    </row>
    <row r="295" spans="1:95" ht="11.25">
      <c r="A295" s="207">
        <v>989</v>
      </c>
      <c r="B295" s="207" t="s">
        <v>351</v>
      </c>
      <c r="C295" s="207">
        <v>5703</v>
      </c>
      <c r="D295" s="207">
        <v>21199276.549999997</v>
      </c>
      <c r="E295" s="207">
        <v>9940906.799471539</v>
      </c>
      <c r="F295" s="207">
        <v>1224745.0035347105</v>
      </c>
      <c r="G295" s="207">
        <v>32364928.353006247</v>
      </c>
      <c r="H295" s="207">
        <v>3664.46</v>
      </c>
      <c r="I295" s="207">
        <v>20898415.38</v>
      </c>
      <c r="J295" s="207">
        <v>11466512.973006248</v>
      </c>
      <c r="K295" s="207">
        <v>505825.3121512191</v>
      </c>
      <c r="L295" s="207">
        <v>-264531.4172201862</v>
      </c>
      <c r="M295" s="207">
        <v>0</v>
      </c>
      <c r="N295" s="207">
        <v>11707806.867937282</v>
      </c>
      <c r="O295" s="207">
        <v>4213563.800893271</v>
      </c>
      <c r="P295" s="207">
        <v>15921370.668830553</v>
      </c>
      <c r="Q295" s="207">
        <v>266</v>
      </c>
      <c r="R295" s="207">
        <v>46</v>
      </c>
      <c r="S295" s="207">
        <v>364</v>
      </c>
      <c r="T295" s="207">
        <v>190</v>
      </c>
      <c r="U295" s="207">
        <v>183</v>
      </c>
      <c r="V295" s="207">
        <v>2878</v>
      </c>
      <c r="W295" s="207">
        <v>1027</v>
      </c>
      <c r="X295" s="207">
        <v>514</v>
      </c>
      <c r="Y295" s="207">
        <v>235</v>
      </c>
      <c r="Z295" s="207">
        <v>4</v>
      </c>
      <c r="AA295" s="207">
        <v>0</v>
      </c>
      <c r="AB295" s="207">
        <v>5637</v>
      </c>
      <c r="AC295" s="207">
        <v>62</v>
      </c>
      <c r="AD295" s="207">
        <v>1776</v>
      </c>
      <c r="AE295" s="481">
        <v>1.4753915231322978</v>
      </c>
      <c r="AF295" s="207">
        <v>9940906.799471539</v>
      </c>
      <c r="AG295" s="207" t="e">
        <v>#DIV/0!</v>
      </c>
      <c r="AH295" s="207" t="e">
        <v>#DIV/0!</v>
      </c>
      <c r="AI295" s="207" t="e">
        <v>#DIV/0!</v>
      </c>
      <c r="AJ295" s="175">
        <v>196</v>
      </c>
      <c r="AK295" s="175">
        <v>2526</v>
      </c>
      <c r="AL295" s="175">
        <v>0.7953292666999527</v>
      </c>
      <c r="AM295" s="175">
        <v>62</v>
      </c>
      <c r="AN295" s="175">
        <v>0.010871471155532176</v>
      </c>
      <c r="AO295" s="175">
        <v>0.00759039204506918</v>
      </c>
      <c r="AP295" s="175">
        <v>0</v>
      </c>
      <c r="AQ295" s="175">
        <v>4</v>
      </c>
      <c r="AR295" s="175">
        <v>0</v>
      </c>
      <c r="AS295" s="175">
        <v>0</v>
      </c>
      <c r="AT295" s="175">
        <v>0</v>
      </c>
      <c r="AU295" s="175">
        <v>805.82</v>
      </c>
      <c r="AV295" s="175">
        <v>7.077262912312923</v>
      </c>
      <c r="AW295" s="175">
        <v>2.564624539994854</v>
      </c>
      <c r="AX295" s="175">
        <v>184</v>
      </c>
      <c r="AY295" s="175">
        <v>1528</v>
      </c>
      <c r="AZ295" s="175">
        <v>0.12041884816753927</v>
      </c>
      <c r="BA295" s="175">
        <v>0.059235012083304776</v>
      </c>
      <c r="BB295" s="175">
        <v>0.237632</v>
      </c>
      <c r="BC295" s="207">
        <v>2147</v>
      </c>
      <c r="BD295" s="175">
        <v>2198</v>
      </c>
      <c r="BE295" s="175">
        <v>0.9767970882620565</v>
      </c>
      <c r="BF295" s="175">
        <v>0.5678902056709634</v>
      </c>
      <c r="BG295" s="175">
        <v>0</v>
      </c>
      <c r="BH295" s="175">
        <v>0</v>
      </c>
      <c r="BI295" s="207">
        <v>0</v>
      </c>
      <c r="BJ295" s="207">
        <v>-1368.72</v>
      </c>
      <c r="BK295" s="207">
        <v>-23382.3</v>
      </c>
      <c r="BL295" s="207">
        <v>-1596.8400000000001</v>
      </c>
      <c r="BM295" s="207">
        <v>0</v>
      </c>
      <c r="BN295" s="207">
        <v>0</v>
      </c>
      <c r="BO295" s="207">
        <v>126664</v>
      </c>
      <c r="BP295" s="207">
        <v>-157010.24695860632</v>
      </c>
      <c r="BQ295" s="207">
        <v>-242719.68000000002</v>
      </c>
      <c r="BR295" s="207">
        <v>96496.76393330097</v>
      </c>
      <c r="BS295" s="207">
        <v>587503</v>
      </c>
      <c r="BT295" s="207">
        <v>170766</v>
      </c>
      <c r="BU295" s="207">
        <v>439282.3278928873</v>
      </c>
      <c r="BV295" s="207">
        <v>22135.671166588105</v>
      </c>
      <c r="BW295" s="207">
        <v>52404.35786021622</v>
      </c>
      <c r="BX295" s="207">
        <v>222121.41562959072</v>
      </c>
      <c r="BY295" s="207">
        <v>338418.62562740437</v>
      </c>
      <c r="BZ295" s="207">
        <v>547995.4616597563</v>
      </c>
      <c r="CA295" s="207">
        <v>160825.0056978438</v>
      </c>
      <c r="CB295" s="207">
        <v>282767.06100177206</v>
      </c>
      <c r="CC295" s="207">
        <v>513.27</v>
      </c>
      <c r="CD295" s="207">
        <v>-218.17703829817037</v>
      </c>
      <c r="CE295" s="207">
        <v>513364.4397384202</v>
      </c>
      <c r="CF295" s="207">
        <v>-264531.4172201862</v>
      </c>
      <c r="CG295" s="207">
        <v>284262.61284341733</v>
      </c>
      <c r="CH295" s="207">
        <v>393803.9639623515</v>
      </c>
      <c r="CI295" s="207">
        <v>0</v>
      </c>
      <c r="CJ295" s="207">
        <v>4213563.800893271</v>
      </c>
      <c r="CK295" s="207">
        <v>-266723</v>
      </c>
      <c r="CL295" s="207">
        <v>147383.54</v>
      </c>
      <c r="CM295" s="207">
        <v>38884.168000000005</v>
      </c>
      <c r="CN295" s="207">
        <v>108499.372</v>
      </c>
      <c r="CO295" s="207">
        <v>15654647.668830553</v>
      </c>
      <c r="CP295" s="207">
        <v>18148919.35209236</v>
      </c>
      <c r="CQ295" s="207">
        <v>5906</v>
      </c>
    </row>
    <row r="296" spans="1:95" ht="11.25">
      <c r="A296" s="207">
        <v>992</v>
      </c>
      <c r="B296" s="207" t="s">
        <v>352</v>
      </c>
      <c r="C296" s="207">
        <v>18851</v>
      </c>
      <c r="D296" s="207">
        <v>68037862.36</v>
      </c>
      <c r="E296" s="207">
        <v>31251630.861290827</v>
      </c>
      <c r="F296" s="207">
        <v>3964498.610837639</v>
      </c>
      <c r="G296" s="207">
        <v>103253991.83212847</v>
      </c>
      <c r="H296" s="207">
        <v>3664.46</v>
      </c>
      <c r="I296" s="207">
        <v>69078735.46</v>
      </c>
      <c r="J296" s="207">
        <v>34175256.37212847</v>
      </c>
      <c r="K296" s="207">
        <v>759444.1991575309</v>
      </c>
      <c r="L296" s="207">
        <v>-1552713.0227160114</v>
      </c>
      <c r="M296" s="207">
        <v>0</v>
      </c>
      <c r="N296" s="207">
        <v>33381987.54856999</v>
      </c>
      <c r="O296" s="207">
        <v>5321368.238043539</v>
      </c>
      <c r="P296" s="207">
        <v>38703355.786613524</v>
      </c>
      <c r="Q296" s="207">
        <v>1010</v>
      </c>
      <c r="R296" s="207">
        <v>215</v>
      </c>
      <c r="S296" s="207">
        <v>1338</v>
      </c>
      <c r="T296" s="207">
        <v>689</v>
      </c>
      <c r="U296" s="207">
        <v>698</v>
      </c>
      <c r="V296" s="207">
        <v>9935</v>
      </c>
      <c r="W296" s="207">
        <v>2869</v>
      </c>
      <c r="X296" s="207">
        <v>1548</v>
      </c>
      <c r="Y296" s="207">
        <v>549</v>
      </c>
      <c r="Z296" s="207">
        <v>17</v>
      </c>
      <c r="AA296" s="207">
        <v>6</v>
      </c>
      <c r="AB296" s="207">
        <v>18533</v>
      </c>
      <c r="AC296" s="207">
        <v>295</v>
      </c>
      <c r="AD296" s="207">
        <v>4966</v>
      </c>
      <c r="AE296" s="481">
        <v>1.4032108877488694</v>
      </c>
      <c r="AF296" s="207">
        <v>31251630.861290827</v>
      </c>
      <c r="AG296" s="207" t="e">
        <v>#DIV/0!</v>
      </c>
      <c r="AH296" s="207" t="e">
        <v>#DIV/0!</v>
      </c>
      <c r="AI296" s="207" t="e">
        <v>#DIV/0!</v>
      </c>
      <c r="AJ296" s="175">
        <v>1136</v>
      </c>
      <c r="AK296" s="175">
        <v>8428</v>
      </c>
      <c r="AL296" s="175">
        <v>1.3815863803412312</v>
      </c>
      <c r="AM296" s="175">
        <v>295</v>
      </c>
      <c r="AN296" s="175">
        <v>0.01564903718635616</v>
      </c>
      <c r="AO296" s="175">
        <v>0.012367958075893165</v>
      </c>
      <c r="AP296" s="175">
        <v>0</v>
      </c>
      <c r="AQ296" s="175">
        <v>17</v>
      </c>
      <c r="AR296" s="175">
        <v>6</v>
      </c>
      <c r="AS296" s="175">
        <v>0</v>
      </c>
      <c r="AT296" s="175">
        <v>0</v>
      </c>
      <c r="AU296" s="175">
        <v>884.57</v>
      </c>
      <c r="AV296" s="175">
        <v>21.31091942977944</v>
      </c>
      <c r="AW296" s="175">
        <v>0.8517005660276677</v>
      </c>
      <c r="AX296" s="175">
        <v>665</v>
      </c>
      <c r="AY296" s="175">
        <v>5442</v>
      </c>
      <c r="AZ296" s="175">
        <v>0.12219772142594634</v>
      </c>
      <c r="BA296" s="175">
        <v>0.06101388534171185</v>
      </c>
      <c r="BB296" s="175">
        <v>0</v>
      </c>
      <c r="BC296" s="207">
        <v>6916</v>
      </c>
      <c r="BD296" s="175">
        <v>6764</v>
      </c>
      <c r="BE296" s="175">
        <v>1.0224719101123596</v>
      </c>
      <c r="BF296" s="175">
        <v>0.6135650275212665</v>
      </c>
      <c r="BG296" s="175">
        <v>0</v>
      </c>
      <c r="BH296" s="175">
        <v>6</v>
      </c>
      <c r="BI296" s="207">
        <v>0</v>
      </c>
      <c r="BJ296" s="207">
        <v>-4524.24</v>
      </c>
      <c r="BK296" s="207">
        <v>-77289.09999999999</v>
      </c>
      <c r="BL296" s="207">
        <v>-5278.280000000001</v>
      </c>
      <c r="BM296" s="207">
        <v>0</v>
      </c>
      <c r="BN296" s="207">
        <v>0</v>
      </c>
      <c r="BO296" s="207">
        <v>678179</v>
      </c>
      <c r="BP296" s="207">
        <v>-1150872.2424083832</v>
      </c>
      <c r="BQ296" s="207">
        <v>-802298.56</v>
      </c>
      <c r="BR296" s="207">
        <v>18012.54996163398</v>
      </c>
      <c r="BS296" s="207">
        <v>1489761</v>
      </c>
      <c r="BT296" s="207">
        <v>450815</v>
      </c>
      <c r="BU296" s="207">
        <v>1034431.5246544537</v>
      </c>
      <c r="BV296" s="207">
        <v>34021.999037244925</v>
      </c>
      <c r="BW296" s="207">
        <v>135664.67047937264</v>
      </c>
      <c r="BX296" s="207">
        <v>556663.5774633273</v>
      </c>
      <c r="BY296" s="207">
        <v>843413.5215587942</v>
      </c>
      <c r="BZ296" s="207">
        <v>1444256.7380260613</v>
      </c>
      <c r="CA296" s="207">
        <v>394204.05797371245</v>
      </c>
      <c r="CB296" s="207">
        <v>828688.6681711307</v>
      </c>
      <c r="CC296" s="207">
        <v>1696.59</v>
      </c>
      <c r="CD296" s="207">
        <v>27032.53271832975</v>
      </c>
      <c r="CE296" s="207">
        <v>1650467.589692372</v>
      </c>
      <c r="CF296" s="207">
        <v>-1552713.0227160114</v>
      </c>
      <c r="CG296" s="207">
        <v>906884.427012408</v>
      </c>
      <c r="CH296" s="207">
        <v>1027531.5711435131</v>
      </c>
      <c r="CI296" s="207">
        <v>0</v>
      </c>
      <c r="CJ296" s="207">
        <v>5321368.238043539</v>
      </c>
      <c r="CK296" s="207">
        <v>-1077026</v>
      </c>
      <c r="CL296" s="207">
        <v>147247.2</v>
      </c>
      <c r="CM296" s="207">
        <v>248234.23800000004</v>
      </c>
      <c r="CN296" s="207">
        <v>-100987.03800000003</v>
      </c>
      <c r="CO296" s="207">
        <v>37626329.786613524</v>
      </c>
      <c r="CP296" s="207">
        <v>42108390.85277138</v>
      </c>
      <c r="CQ296" s="207">
        <v>19144</v>
      </c>
    </row>
    <row r="298" spans="3:95" ht="11.25">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207"/>
      <c r="BG298" s="207"/>
      <c r="BH298" s="207"/>
      <c r="BI298" s="207"/>
      <c r="BJ298" s="207"/>
      <c r="BK298" s="207"/>
      <c r="BL298" s="207"/>
      <c r="BM298" s="207"/>
      <c r="BN298" s="207"/>
      <c r="BO298" s="207"/>
      <c r="BP298" s="207"/>
      <c r="BQ298" s="207"/>
      <c r="BR298" s="207"/>
      <c r="BS298" s="207"/>
      <c r="BT298" s="207"/>
      <c r="BU298" s="207"/>
      <c r="BV298" s="207"/>
      <c r="BW298" s="207"/>
      <c r="BX298" s="207"/>
      <c r="BY298" s="207"/>
      <c r="BZ298" s="207"/>
      <c r="CA298" s="207"/>
      <c r="CB298" s="207"/>
      <c r="CC298" s="207"/>
      <c r="CD298" s="207"/>
      <c r="CE298" s="207"/>
      <c r="CF298" s="207"/>
      <c r="CG298" s="207"/>
      <c r="CH298" s="207"/>
      <c r="CI298" s="207"/>
      <c r="CJ298" s="207"/>
      <c r="CK298" s="207"/>
      <c r="CL298" s="207"/>
      <c r="CM298" s="207"/>
      <c r="CN298" s="207"/>
      <c r="CO298" s="207"/>
      <c r="CP298" s="207"/>
      <c r="CQ298" s="20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AK314"/>
  <sheetViews>
    <sheetView zoomScalePageLayoutView="0" workbookViewId="0" topLeftCell="A1">
      <selection activeCell="A2" sqref="A2"/>
    </sheetView>
  </sheetViews>
  <sheetFormatPr defaultColWidth="9.140625" defaultRowHeight="12.75"/>
  <cols>
    <col min="1" max="1" width="23.00390625" style="0" customWidth="1"/>
    <col min="2" max="2" width="8.57421875" style="0" customWidth="1"/>
    <col min="3" max="3" width="14.140625" style="0" customWidth="1"/>
    <col min="4" max="5" width="12.28125" style="0" customWidth="1"/>
    <col min="6" max="6" width="13.140625" style="0" customWidth="1"/>
    <col min="7" max="7" width="8.421875" style="3" customWidth="1"/>
    <col min="8" max="8" width="8.421875" style="0" customWidth="1"/>
    <col min="9" max="9" width="9.00390625" style="0" customWidth="1"/>
    <col min="10" max="10" width="8.57421875" style="0" customWidth="1"/>
    <col min="11" max="11" width="6.7109375" style="1" customWidth="1"/>
    <col min="12" max="12" width="12.28125" style="1" bestFit="1" customWidth="1"/>
    <col min="13" max="13" width="12.28125" style="1" customWidth="1"/>
    <col min="14" max="14" width="8.28125" style="0" customWidth="1"/>
    <col min="15" max="17" width="9.57421875" style="0" customWidth="1"/>
    <col min="20" max="20" width="11.7109375" style="0" bestFit="1" customWidth="1"/>
    <col min="24" max="24" width="10.421875" style="0" customWidth="1"/>
    <col min="26" max="26" width="13.00390625" style="0" customWidth="1"/>
    <col min="27" max="27" width="20.8515625" style="0" bestFit="1" customWidth="1"/>
    <col min="28" max="28" width="13.00390625" style="0" customWidth="1"/>
  </cols>
  <sheetData>
    <row r="1" ht="13.5" customHeight="1">
      <c r="A1" s="373"/>
    </row>
    <row r="2" spans="1:13" ht="18.75" customHeight="1">
      <c r="A2" s="374" t="s">
        <v>1158</v>
      </c>
      <c r="B2" s="374"/>
      <c r="C2" s="374"/>
      <c r="D2" s="374"/>
      <c r="E2" s="374"/>
      <c r="F2" s="374"/>
      <c r="G2" s="375"/>
      <c r="H2" s="374"/>
      <c r="I2" s="374"/>
      <c r="J2" s="374"/>
      <c r="K2" s="376"/>
      <c r="L2" s="377"/>
      <c r="M2" s="377"/>
    </row>
    <row r="3" spans="1:13" ht="14.25" customHeight="1">
      <c r="A3" s="217" t="s">
        <v>1159</v>
      </c>
      <c r="L3" s="377"/>
      <c r="M3" s="377"/>
    </row>
    <row r="4" spans="1:28" ht="15" customHeight="1">
      <c r="A4" s="378" t="s">
        <v>718</v>
      </c>
      <c r="L4" s="379"/>
      <c r="M4" s="379"/>
      <c r="AB4" s="379"/>
    </row>
    <row r="5" spans="1:11" ht="15" customHeight="1">
      <c r="A5" s="378" t="s">
        <v>1160</v>
      </c>
      <c r="K5" s="380"/>
    </row>
    <row r="6" ht="14.25" customHeight="1">
      <c r="A6" s="381" t="s">
        <v>1161</v>
      </c>
    </row>
    <row r="7" ht="14.25" customHeight="1">
      <c r="A7" s="382" t="s">
        <v>1162</v>
      </c>
    </row>
    <row r="8" ht="10.5" customHeight="1"/>
    <row r="9" spans="1:28" ht="17.25" customHeight="1">
      <c r="A9" s="384" t="s">
        <v>719</v>
      </c>
      <c r="B9" s="385" t="s">
        <v>720</v>
      </c>
      <c r="C9" s="385" t="s">
        <v>721</v>
      </c>
      <c r="D9" s="385" t="s">
        <v>722</v>
      </c>
      <c r="E9" s="385" t="s">
        <v>723</v>
      </c>
      <c r="F9" s="384" t="s">
        <v>724</v>
      </c>
      <c r="G9" s="385"/>
      <c r="H9" s="385" t="s">
        <v>725</v>
      </c>
      <c r="I9" s="386" t="s">
        <v>725</v>
      </c>
      <c r="J9" s="386" t="s">
        <v>725</v>
      </c>
      <c r="K9" s="387" t="s">
        <v>1163</v>
      </c>
      <c r="L9" s="387"/>
      <c r="M9" s="387"/>
      <c r="N9" s="388" t="s">
        <v>726</v>
      </c>
      <c r="O9" s="389" t="s">
        <v>727</v>
      </c>
      <c r="P9" s="390" t="s">
        <v>728</v>
      </c>
      <c r="Q9" s="391" t="s">
        <v>729</v>
      </c>
      <c r="R9" s="175" t="s">
        <v>730</v>
      </c>
      <c r="T9" s="5" t="s">
        <v>1164</v>
      </c>
      <c r="X9" s="392" t="s">
        <v>719</v>
      </c>
      <c r="Y9" s="393"/>
      <c r="Z9" s="406" t="s">
        <v>1165</v>
      </c>
      <c r="AA9" s="392" t="s">
        <v>1166</v>
      </c>
      <c r="AB9" s="392" t="s">
        <v>1167</v>
      </c>
    </row>
    <row r="10" spans="1:29" ht="13.5" customHeight="1">
      <c r="A10" s="384"/>
      <c r="B10" s="385" t="s">
        <v>733</v>
      </c>
      <c r="C10" s="385" t="s">
        <v>731</v>
      </c>
      <c r="D10" s="385" t="s">
        <v>734</v>
      </c>
      <c r="E10" s="385" t="s">
        <v>735</v>
      </c>
      <c r="F10" s="394" t="s">
        <v>1168</v>
      </c>
      <c r="G10" s="395"/>
      <c r="H10" s="385" t="s">
        <v>736</v>
      </c>
      <c r="I10" s="386" t="s">
        <v>737</v>
      </c>
      <c r="J10" s="386" t="s">
        <v>738</v>
      </c>
      <c r="K10" s="396"/>
      <c r="L10" s="396"/>
      <c r="M10" s="482"/>
      <c r="N10" s="397"/>
      <c r="O10" s="398" t="s">
        <v>739</v>
      </c>
      <c r="P10" s="390" t="s">
        <v>740</v>
      </c>
      <c r="Q10" s="399" t="s">
        <v>741</v>
      </c>
      <c r="R10" s="175" t="s">
        <v>742</v>
      </c>
      <c r="T10" s="5" t="s">
        <v>732</v>
      </c>
      <c r="X10" s="392"/>
      <c r="Y10" s="400"/>
      <c r="Z10" s="483" t="s">
        <v>1169</v>
      </c>
      <c r="AA10" s="484" t="s">
        <v>1170</v>
      </c>
      <c r="AB10" s="484" t="s">
        <v>1171</v>
      </c>
      <c r="AC10" s="379"/>
    </row>
    <row r="11" spans="1:28" ht="13.5" customHeight="1">
      <c r="A11" s="384"/>
      <c r="B11" s="401" t="s">
        <v>743</v>
      </c>
      <c r="C11" s="401">
        <v>2018</v>
      </c>
      <c r="D11" s="401">
        <v>2018</v>
      </c>
      <c r="E11" s="385" t="s">
        <v>744</v>
      </c>
      <c r="F11" s="384"/>
      <c r="G11" s="385" t="s">
        <v>745</v>
      </c>
      <c r="H11" s="385" t="s">
        <v>746</v>
      </c>
      <c r="I11" s="386" t="s">
        <v>747</v>
      </c>
      <c r="J11" s="402" t="s">
        <v>382</v>
      </c>
      <c r="K11" s="403" t="s">
        <v>745</v>
      </c>
      <c r="L11" s="403" t="s">
        <v>361</v>
      </c>
      <c r="M11" s="403"/>
      <c r="N11" s="404"/>
      <c r="O11" s="404"/>
      <c r="P11" s="405" t="s">
        <v>748</v>
      </c>
      <c r="Q11" s="399"/>
      <c r="R11" s="175">
        <v>2017</v>
      </c>
      <c r="T11">
        <v>2018</v>
      </c>
      <c r="X11" s="406"/>
      <c r="Y11" s="393">
        <v>2018</v>
      </c>
      <c r="Z11" s="383" t="s">
        <v>361</v>
      </c>
      <c r="AA11" s="383" t="s">
        <v>361</v>
      </c>
      <c r="AB11" s="383" t="s">
        <v>361</v>
      </c>
    </row>
    <row r="12" spans="1:28" ht="13.5" customHeight="1">
      <c r="A12" s="384"/>
      <c r="B12" s="485">
        <v>2017</v>
      </c>
      <c r="C12" s="401" t="s">
        <v>361</v>
      </c>
      <c r="D12" s="401" t="s">
        <v>361</v>
      </c>
      <c r="E12" s="485">
        <v>2018</v>
      </c>
      <c r="F12" s="385" t="s">
        <v>361</v>
      </c>
      <c r="G12" s="385" t="s">
        <v>749</v>
      </c>
      <c r="H12" s="385" t="s">
        <v>750</v>
      </c>
      <c r="I12" s="386" t="s">
        <v>751</v>
      </c>
      <c r="J12" s="402"/>
      <c r="K12" s="403" t="s">
        <v>749</v>
      </c>
      <c r="L12" s="387"/>
      <c r="M12" s="387"/>
      <c r="N12" s="404"/>
      <c r="O12" s="404"/>
      <c r="P12" s="175"/>
      <c r="Q12" s="399"/>
      <c r="X12" s="383"/>
      <c r="Y12" s="407"/>
      <c r="Z12" s="409"/>
      <c r="AA12" s="409"/>
      <c r="AB12" s="409"/>
    </row>
    <row r="13" spans="1:28" ht="13.5" customHeight="1">
      <c r="A13" s="384"/>
      <c r="B13" s="385"/>
      <c r="C13" s="385"/>
      <c r="D13" s="385"/>
      <c r="E13" s="401" t="s">
        <v>361</v>
      </c>
      <c r="F13" s="385"/>
      <c r="G13" s="385"/>
      <c r="H13" s="385"/>
      <c r="I13" s="386" t="s">
        <v>752</v>
      </c>
      <c r="J13" s="385"/>
      <c r="K13" s="403"/>
      <c r="L13" s="387"/>
      <c r="M13" s="387"/>
      <c r="N13" s="404"/>
      <c r="O13" s="404"/>
      <c r="P13" s="408"/>
      <c r="X13" s="409"/>
      <c r="Y13" s="410"/>
      <c r="Z13" s="475"/>
      <c r="AA13" s="475"/>
      <c r="AB13" s="475"/>
    </row>
    <row r="14" spans="1:28" ht="9.75" customHeight="1">
      <c r="A14" s="404"/>
      <c r="B14" s="411"/>
      <c r="C14" s="412"/>
      <c r="D14" s="412"/>
      <c r="E14" s="412"/>
      <c r="F14" s="413"/>
      <c r="G14" s="414"/>
      <c r="H14" s="415"/>
      <c r="I14" s="415"/>
      <c r="J14" s="415"/>
      <c r="K14" s="416"/>
      <c r="L14" s="417"/>
      <c r="M14" s="417"/>
      <c r="N14" s="404"/>
      <c r="O14" s="404"/>
      <c r="P14" s="404"/>
      <c r="Q14" s="404"/>
      <c r="X14" s="409"/>
      <c r="Y14" s="419"/>
      <c r="Z14" s="486"/>
      <c r="AA14" s="486"/>
      <c r="AB14" s="487"/>
    </row>
    <row r="15" spans="1:28" s="429" customFormat="1" ht="15" customHeight="1">
      <c r="A15" s="420" t="str">
        <f>"Yhteensä ("&amp;COUNTIF(B19:B313,"&gt;0")&amp;")"</f>
        <v>Yhteensä (295)</v>
      </c>
      <c r="B15" s="421">
        <f>SUM(B19:B313)</f>
        <v>5483641</v>
      </c>
      <c r="C15" s="421">
        <f>SUM(C19:C313)</f>
        <v>18879184672.047573</v>
      </c>
      <c r="D15" s="421">
        <f>SUM(D19:D313)</f>
        <v>1877143238.4321563</v>
      </c>
      <c r="E15" s="421">
        <f>SUM(E19:E313)</f>
        <v>10854103.625</v>
      </c>
      <c r="F15" s="421">
        <f>SUM(F19:F313)</f>
        <v>20767182014.104736</v>
      </c>
      <c r="G15" s="422">
        <f>ROUND(F15/B15,2)</f>
        <v>3787.12</v>
      </c>
      <c r="H15" s="423"/>
      <c r="I15" s="423"/>
      <c r="J15" s="423"/>
      <c r="K15" s="424">
        <f>L15/B15</f>
        <v>142.39570386825204</v>
      </c>
      <c r="L15" s="425">
        <f>SUM(L19:L313)</f>
        <v>780846919.9558054</v>
      </c>
      <c r="M15" s="425"/>
      <c r="N15" s="426"/>
      <c r="O15" s="427"/>
      <c r="P15" s="428"/>
      <c r="Q15" s="428"/>
      <c r="X15" s="430" t="s">
        <v>753</v>
      </c>
      <c r="Y15" s="431">
        <f>100*Z15/AA15</f>
        <v>19.850727621788298</v>
      </c>
      <c r="Z15" s="432">
        <f>SUM(Z19:Z313)</f>
        <v>18879876707.620007</v>
      </c>
      <c r="AA15" s="432">
        <f>SUM(AA19:AA313)</f>
        <v>95109242680.34045</v>
      </c>
      <c r="AB15" s="432">
        <f>SUM(AB19:AB313)</f>
        <v>1877143238.4321563</v>
      </c>
    </row>
    <row r="16" spans="1:28" s="443" customFormat="1" ht="15" customHeight="1">
      <c r="A16" s="433" t="str">
        <f>"Tasauksen saajat ("&amp;COUNTIF(L19:L313,"&gt;0")&amp;")"</f>
        <v>Tasauksen saajat (269)</v>
      </c>
      <c r="B16" s="434">
        <f>_xlfn.SUMIFS($B$19:$B$313,$L$19:$L$313,"&gt;0")</f>
        <v>3616177</v>
      </c>
      <c r="C16" s="435"/>
      <c r="D16" s="435"/>
      <c r="E16" s="435">
        <f>E30+E153</f>
        <v>9058959.841</v>
      </c>
      <c r="F16" s="435"/>
      <c r="G16" s="436"/>
      <c r="H16" s="437"/>
      <c r="I16" s="437"/>
      <c r="J16" s="437"/>
      <c r="K16" s="438">
        <f>L16/B16</f>
        <v>403.286550849253</v>
      </c>
      <c r="L16" s="439">
        <f>SUMIF($L$19:$L$313,"&gt;0")</f>
        <v>1458355549.590399</v>
      </c>
      <c r="M16" s="439"/>
      <c r="N16" s="440"/>
      <c r="O16" s="441"/>
      <c r="P16" s="442"/>
      <c r="Q16" s="442"/>
      <c r="X16" s="444"/>
      <c r="Y16" s="445"/>
      <c r="Z16" s="446"/>
      <c r="AA16" s="446"/>
      <c r="AB16" s="446"/>
    </row>
    <row r="17" spans="1:28" ht="15" customHeight="1">
      <c r="A17" s="447" t="str">
        <f>"Tasauksen maksajat ("&amp;COUNTIF(L19:L313,"&lt;0")&amp;")"</f>
        <v>Tasauksen maksajat (26)</v>
      </c>
      <c r="B17" s="448">
        <f>_xlfn.SUMIFS($B$19:$B$313,$L$19:$L$313,"&lt;0")</f>
        <v>1867464</v>
      </c>
      <c r="D17" s="448"/>
      <c r="E17" s="448"/>
      <c r="F17" s="448"/>
      <c r="G17" s="449"/>
      <c r="H17" s="450"/>
      <c r="I17" s="450"/>
      <c r="J17" s="450"/>
      <c r="K17" s="451">
        <f>L17/B17</f>
        <v>-362.79608583329787</v>
      </c>
      <c r="L17" s="451">
        <f>SUMIF($L$19:$L$313,"&lt;0")</f>
        <v>-677508629.6345937</v>
      </c>
      <c r="M17" s="451"/>
      <c r="N17" s="452"/>
      <c r="O17" s="453"/>
      <c r="P17" s="454"/>
      <c r="Q17" s="454"/>
      <c r="X17" s="409"/>
      <c r="Y17" s="455"/>
      <c r="Z17" s="456"/>
      <c r="AA17" s="456"/>
      <c r="AB17" s="456"/>
    </row>
    <row r="18" spans="1:28" ht="13.5">
      <c r="A18" s="457"/>
      <c r="B18" s="458"/>
      <c r="C18" s="458"/>
      <c r="D18" s="458"/>
      <c r="E18" s="458"/>
      <c r="F18" s="458"/>
      <c r="G18" s="459"/>
      <c r="H18" s="460"/>
      <c r="I18" s="460"/>
      <c r="J18" s="460"/>
      <c r="K18" s="461"/>
      <c r="L18" s="461"/>
      <c r="M18" s="461"/>
      <c r="N18" s="462"/>
      <c r="O18" s="463"/>
      <c r="P18" s="454"/>
      <c r="Q18" s="464"/>
      <c r="X18" s="409"/>
      <c r="Y18" s="465"/>
      <c r="Z18" s="409"/>
      <c r="AA18" s="409"/>
      <c r="AB18" s="418"/>
    </row>
    <row r="19" spans="1:37" ht="15" customHeight="1">
      <c r="A19" s="466" t="s">
        <v>754</v>
      </c>
      <c r="B19" s="467">
        <v>9831</v>
      </c>
      <c r="C19" s="468">
        <f aca="true" t="shared" si="0" ref="C19:C82">19.85*AA19/100</f>
        <v>22910367.09682759</v>
      </c>
      <c r="D19" s="468">
        <f aca="true" t="shared" si="1" ref="D19:D82">AB19</f>
        <v>2143625.4959891667</v>
      </c>
      <c r="E19" s="468">
        <v>0</v>
      </c>
      <c r="F19" s="468">
        <f aca="true" t="shared" si="2" ref="F19:F82">C19+D19+E19</f>
        <v>25053992.592816755</v>
      </c>
      <c r="G19" s="469">
        <f aca="true" t="shared" si="3" ref="G19:G82">F19/B19</f>
        <v>2548.468374816067</v>
      </c>
      <c r="H19" s="460">
        <f aca="true" t="shared" si="4" ref="H19:H82">$G$15-G19</f>
        <v>1238.651625183933</v>
      </c>
      <c r="I19" s="380">
        <f aca="true" t="shared" si="5" ref="I19:I82">IF(H19&lt;0,LN(-H19),"")</f>
      </c>
      <c r="J19" s="380">
        <f aca="true" t="shared" si="6" ref="J19:J82">IF(H19&lt;0,30+I19,"")</f>
      </c>
      <c r="K19" s="461">
        <f aca="true" t="shared" si="7" ref="K19:K82">IF(H19&gt;0,H19*0.8,J19*H19/100)</f>
        <v>990.9213001471464</v>
      </c>
      <c r="L19" s="488">
        <f aca="true" t="shared" si="8" ref="L19:L82">K19*B19</f>
        <v>9741747.301746598</v>
      </c>
      <c r="M19" s="488"/>
      <c r="N19" s="470">
        <v>5</v>
      </c>
      <c r="O19" s="389" t="s">
        <v>754</v>
      </c>
      <c r="P19" s="471">
        <v>0</v>
      </c>
      <c r="Q19" s="472" t="s">
        <v>755</v>
      </c>
      <c r="X19" s="473" t="s">
        <v>60</v>
      </c>
      <c r="Y19" s="474">
        <v>21.75</v>
      </c>
      <c r="Z19" s="475">
        <v>25103298.96</v>
      </c>
      <c r="AA19" s="476">
        <f aca="true" t="shared" si="9" ref="AA19:AA82">100*Z19/Y19</f>
        <v>115417466.48275863</v>
      </c>
      <c r="AB19" s="475">
        <v>2143625.4959891667</v>
      </c>
      <c r="AE19" s="489">
        <v>5</v>
      </c>
      <c r="AF19">
        <f aca="true" t="shared" si="10" ref="AF19:AF82">N19-AE19</f>
        <v>0</v>
      </c>
      <c r="AH19" s="477">
        <v>24935.280491696976</v>
      </c>
      <c r="AI19">
        <f aca="true" t="shared" si="11" ref="AI19:AI82">AH19*1000</f>
        <v>24935280.491696976</v>
      </c>
      <c r="AJ19" s="490">
        <v>2146.887808</v>
      </c>
      <c r="AK19">
        <f aca="true" t="shared" si="12" ref="AK19:AK82">AJ19*1000</f>
        <v>2146887.8079999997</v>
      </c>
    </row>
    <row r="20" spans="1:37" ht="15" customHeight="1">
      <c r="A20" s="453" t="s">
        <v>756</v>
      </c>
      <c r="B20" s="467">
        <v>2610</v>
      </c>
      <c r="C20" s="468">
        <f t="shared" si="0"/>
        <v>6208711.73172093</v>
      </c>
      <c r="D20" s="468">
        <f t="shared" si="1"/>
        <v>259781.9824817507</v>
      </c>
      <c r="E20" s="468">
        <v>0</v>
      </c>
      <c r="F20" s="468">
        <f t="shared" si="2"/>
        <v>6468493.714202681</v>
      </c>
      <c r="G20" s="469">
        <f t="shared" si="3"/>
        <v>2478.3500820699924</v>
      </c>
      <c r="H20" s="460">
        <f t="shared" si="4"/>
        <v>1308.7699179300075</v>
      </c>
      <c r="I20" s="380">
        <f t="shared" si="5"/>
      </c>
      <c r="J20" s="380">
        <f t="shared" si="6"/>
      </c>
      <c r="K20" s="461">
        <f t="shared" si="7"/>
        <v>1047.0159343440062</v>
      </c>
      <c r="L20" s="488">
        <f t="shared" si="8"/>
        <v>2732711.588637856</v>
      </c>
      <c r="M20" s="488"/>
      <c r="N20" s="478">
        <v>9</v>
      </c>
      <c r="O20" s="389" t="s">
        <v>756</v>
      </c>
      <c r="P20" s="471">
        <v>0</v>
      </c>
      <c r="Q20" s="472" t="s">
        <v>757</v>
      </c>
      <c r="X20" s="473" t="s">
        <v>61</v>
      </c>
      <c r="Y20" s="474">
        <v>21.5</v>
      </c>
      <c r="Z20" s="475">
        <v>6724801.12</v>
      </c>
      <c r="AA20" s="476">
        <f t="shared" si="9"/>
        <v>31278144.744186047</v>
      </c>
      <c r="AB20" s="475">
        <v>259781.9824817507</v>
      </c>
      <c r="AE20" s="489">
        <v>9</v>
      </c>
      <c r="AF20">
        <f t="shared" si="10"/>
        <v>0</v>
      </c>
      <c r="AH20" s="477">
        <v>6591.498852995832</v>
      </c>
      <c r="AI20">
        <f t="shared" si="11"/>
        <v>6591498.8529958315</v>
      </c>
      <c r="AJ20" s="490">
        <v>260.17733599999997</v>
      </c>
      <c r="AK20">
        <f t="shared" si="12"/>
        <v>260177.33599999998</v>
      </c>
    </row>
    <row r="21" spans="1:37" ht="15" customHeight="1">
      <c r="A21" s="453" t="s">
        <v>758</v>
      </c>
      <c r="B21" s="467">
        <v>11713</v>
      </c>
      <c r="C21" s="468">
        <f t="shared" si="0"/>
        <v>27306046.537882358</v>
      </c>
      <c r="D21" s="468">
        <f t="shared" si="1"/>
        <v>2399802.0494528613</v>
      </c>
      <c r="E21" s="468">
        <v>0</v>
      </c>
      <c r="F21" s="468">
        <f t="shared" si="2"/>
        <v>29705848.587335218</v>
      </c>
      <c r="G21" s="469">
        <f t="shared" si="3"/>
        <v>2536.1434805203808</v>
      </c>
      <c r="H21" s="460">
        <f t="shared" si="4"/>
        <v>1250.9765194796191</v>
      </c>
      <c r="I21" s="380">
        <f t="shared" si="5"/>
      </c>
      <c r="J21" s="380">
        <f t="shared" si="6"/>
      </c>
      <c r="K21" s="461">
        <f t="shared" si="7"/>
        <v>1000.7812155836954</v>
      </c>
      <c r="L21" s="488">
        <f t="shared" si="8"/>
        <v>11722150.378131824</v>
      </c>
      <c r="M21" s="488"/>
      <c r="N21" s="478">
        <v>10</v>
      </c>
      <c r="O21" s="389" t="s">
        <v>758</v>
      </c>
      <c r="P21" s="471">
        <v>0</v>
      </c>
      <c r="Q21" s="472" t="s">
        <v>755</v>
      </c>
      <c r="X21" s="473" t="s">
        <v>62</v>
      </c>
      <c r="Y21" s="474">
        <v>21.25</v>
      </c>
      <c r="Z21" s="475">
        <v>29231913.8</v>
      </c>
      <c r="AA21" s="476">
        <f t="shared" si="9"/>
        <v>137561947.29411766</v>
      </c>
      <c r="AB21" s="475">
        <v>2399802.0494528613</v>
      </c>
      <c r="AE21" s="489">
        <v>10</v>
      </c>
      <c r="AF21">
        <f t="shared" si="10"/>
        <v>0</v>
      </c>
      <c r="AH21" s="477">
        <v>29142.20384501462</v>
      </c>
      <c r="AI21">
        <f t="shared" si="11"/>
        <v>29142203.84501462</v>
      </c>
      <c r="AJ21" s="490">
        <v>2403.454228</v>
      </c>
      <c r="AK21">
        <f t="shared" si="12"/>
        <v>2403454.228</v>
      </c>
    </row>
    <row r="22" spans="1:37" ht="15" customHeight="1">
      <c r="A22" s="453" t="s">
        <v>759</v>
      </c>
      <c r="B22" s="467">
        <v>8248</v>
      </c>
      <c r="C22" s="468">
        <f t="shared" si="0"/>
        <v>24095242.128048196</v>
      </c>
      <c r="D22" s="468">
        <f t="shared" si="1"/>
        <v>1444214.8776376906</v>
      </c>
      <c r="E22" s="468">
        <v>0</v>
      </c>
      <c r="F22" s="468">
        <f t="shared" si="2"/>
        <v>25539457.00568589</v>
      </c>
      <c r="G22" s="469">
        <f t="shared" si="3"/>
        <v>3096.442410970646</v>
      </c>
      <c r="H22" s="460">
        <f t="shared" si="4"/>
        <v>690.6775890293538</v>
      </c>
      <c r="I22" s="380">
        <f t="shared" si="5"/>
      </c>
      <c r="J22" s="380">
        <f t="shared" si="6"/>
      </c>
      <c r="K22" s="461">
        <f t="shared" si="7"/>
        <v>552.542071223483</v>
      </c>
      <c r="L22" s="488">
        <f t="shared" si="8"/>
        <v>4557367.003451288</v>
      </c>
      <c r="M22" s="488"/>
      <c r="N22" s="478">
        <v>16</v>
      </c>
      <c r="O22" s="389" t="s">
        <v>759</v>
      </c>
      <c r="P22" s="471">
        <v>0</v>
      </c>
      <c r="Q22" s="472" t="s">
        <v>760</v>
      </c>
      <c r="X22" s="473" t="s">
        <v>63</v>
      </c>
      <c r="Y22" s="474">
        <v>20.75</v>
      </c>
      <c r="Z22" s="475">
        <v>25187721.62</v>
      </c>
      <c r="AA22" s="476">
        <f t="shared" si="9"/>
        <v>121386610.21686748</v>
      </c>
      <c r="AB22" s="475">
        <v>1444214.8776376906</v>
      </c>
      <c r="AE22" s="489">
        <v>16</v>
      </c>
      <c r="AF22">
        <f t="shared" si="10"/>
        <v>0</v>
      </c>
      <c r="AH22" s="477">
        <v>25038.21370202933</v>
      </c>
      <c r="AI22">
        <f t="shared" si="11"/>
        <v>25038213.70202933</v>
      </c>
      <c r="AJ22" s="490">
        <v>1446.41278</v>
      </c>
      <c r="AK22">
        <f t="shared" si="12"/>
        <v>1446412.78</v>
      </c>
    </row>
    <row r="23" spans="1:37" ht="15" customHeight="1">
      <c r="A23" s="453" t="s">
        <v>761</v>
      </c>
      <c r="B23" s="467">
        <v>4990</v>
      </c>
      <c r="C23" s="468">
        <f t="shared" si="0"/>
        <v>16104463.1973253</v>
      </c>
      <c r="D23" s="468">
        <f t="shared" si="1"/>
        <v>951625.836439107</v>
      </c>
      <c r="E23" s="468">
        <v>0</v>
      </c>
      <c r="F23" s="468">
        <f t="shared" si="2"/>
        <v>17056089.033764407</v>
      </c>
      <c r="G23" s="469">
        <f t="shared" si="3"/>
        <v>3418.0539145820453</v>
      </c>
      <c r="H23" s="460">
        <f t="shared" si="4"/>
        <v>369.0660854179546</v>
      </c>
      <c r="I23" s="380">
        <f t="shared" si="5"/>
      </c>
      <c r="J23" s="380">
        <f t="shared" si="6"/>
      </c>
      <c r="K23" s="461">
        <f t="shared" si="7"/>
        <v>295.25286833436365</v>
      </c>
      <c r="L23" s="488">
        <f t="shared" si="8"/>
        <v>1473311.8129884747</v>
      </c>
      <c r="M23" s="488"/>
      <c r="N23" s="478">
        <v>18</v>
      </c>
      <c r="O23" s="389" t="s">
        <v>761</v>
      </c>
      <c r="P23" s="471">
        <v>0</v>
      </c>
      <c r="Q23" s="472" t="s">
        <v>762</v>
      </c>
      <c r="X23" s="473" t="s">
        <v>64</v>
      </c>
      <c r="Y23" s="474">
        <v>20.75</v>
      </c>
      <c r="Z23" s="475">
        <v>16834640.37</v>
      </c>
      <c r="AA23" s="476">
        <f t="shared" si="9"/>
        <v>81130796.96385542</v>
      </c>
      <c r="AB23" s="475">
        <v>951625.836439107</v>
      </c>
      <c r="AE23" s="489">
        <v>18</v>
      </c>
      <c r="AF23">
        <f t="shared" si="10"/>
        <v>0</v>
      </c>
      <c r="AH23" s="477">
        <v>16785.704725209198</v>
      </c>
      <c r="AI23">
        <f t="shared" si="11"/>
        <v>16785704.7252092</v>
      </c>
      <c r="AJ23" s="490">
        <v>953.074084</v>
      </c>
      <c r="AK23">
        <f t="shared" si="12"/>
        <v>953074.0839999999</v>
      </c>
    </row>
    <row r="24" spans="1:37" ht="15" customHeight="1">
      <c r="A24" s="453" t="s">
        <v>763</v>
      </c>
      <c r="B24" s="467">
        <v>3991</v>
      </c>
      <c r="C24" s="468">
        <f t="shared" si="0"/>
        <v>12104470.313103449</v>
      </c>
      <c r="D24" s="468">
        <f t="shared" si="1"/>
        <v>600697.0991577207</v>
      </c>
      <c r="E24" s="468">
        <v>0</v>
      </c>
      <c r="F24" s="468">
        <f t="shared" si="2"/>
        <v>12705167.41226117</v>
      </c>
      <c r="G24" s="469">
        <f t="shared" si="3"/>
        <v>3183.454625973733</v>
      </c>
      <c r="H24" s="460">
        <f t="shared" si="4"/>
        <v>603.6653740262668</v>
      </c>
      <c r="I24" s="380">
        <f t="shared" si="5"/>
      </c>
      <c r="J24" s="380">
        <f t="shared" si="6"/>
      </c>
      <c r="K24" s="461">
        <f t="shared" si="7"/>
        <v>482.93229922101347</v>
      </c>
      <c r="L24" s="488">
        <f t="shared" si="8"/>
        <v>1927382.8061910647</v>
      </c>
      <c r="M24" s="488"/>
      <c r="N24" s="478">
        <v>19</v>
      </c>
      <c r="O24" s="389" t="s">
        <v>763</v>
      </c>
      <c r="P24" s="471">
        <v>0</v>
      </c>
      <c r="Q24" s="472" t="s">
        <v>764</v>
      </c>
      <c r="X24" s="473" t="s">
        <v>65</v>
      </c>
      <c r="Y24" s="474">
        <v>21.75</v>
      </c>
      <c r="Z24" s="475">
        <v>13263084.6</v>
      </c>
      <c r="AA24" s="476">
        <f t="shared" si="9"/>
        <v>60979699.31034483</v>
      </c>
      <c r="AB24" s="475">
        <v>600697.0991577207</v>
      </c>
      <c r="AE24" s="489">
        <v>19</v>
      </c>
      <c r="AF24">
        <f t="shared" si="10"/>
        <v>0</v>
      </c>
      <c r="AH24" s="477">
        <v>13309.28173403711</v>
      </c>
      <c r="AI24">
        <f t="shared" si="11"/>
        <v>13309281.734037109</v>
      </c>
      <c r="AJ24" s="490">
        <v>601.61128</v>
      </c>
      <c r="AK24">
        <f t="shared" si="12"/>
        <v>601611.2799999999</v>
      </c>
    </row>
    <row r="25" spans="1:37" ht="15" customHeight="1">
      <c r="A25" s="453" t="s">
        <v>59</v>
      </c>
      <c r="B25" s="467">
        <v>16769</v>
      </c>
      <c r="C25" s="468">
        <f t="shared" si="0"/>
        <v>50975914.39268966</v>
      </c>
      <c r="D25" s="468">
        <f t="shared" si="1"/>
        <v>1601274.3261113663</v>
      </c>
      <c r="E25" s="468">
        <v>0</v>
      </c>
      <c r="F25" s="468">
        <f t="shared" si="2"/>
        <v>52577188.71880103</v>
      </c>
      <c r="G25" s="469">
        <f t="shared" si="3"/>
        <v>3135.380089379273</v>
      </c>
      <c r="H25" s="460">
        <f t="shared" si="4"/>
        <v>651.7399106207267</v>
      </c>
      <c r="I25" s="380">
        <f t="shared" si="5"/>
      </c>
      <c r="J25" s="380">
        <f t="shared" si="6"/>
      </c>
      <c r="K25" s="461">
        <f t="shared" si="7"/>
        <v>521.3919284965814</v>
      </c>
      <c r="L25" s="488">
        <f t="shared" si="8"/>
        <v>8743221.248959173</v>
      </c>
      <c r="M25" s="488"/>
      <c r="N25" s="478">
        <v>20</v>
      </c>
      <c r="O25" s="389" t="s">
        <v>59</v>
      </c>
      <c r="P25" s="471">
        <v>0</v>
      </c>
      <c r="Q25" s="472" t="s">
        <v>765</v>
      </c>
      <c r="X25" s="473" t="s">
        <v>59</v>
      </c>
      <c r="Y25" s="474">
        <v>21.75</v>
      </c>
      <c r="Z25" s="475">
        <v>55855221.06</v>
      </c>
      <c r="AA25" s="476">
        <f t="shared" si="9"/>
        <v>256805614.06896552</v>
      </c>
      <c r="AB25" s="475">
        <v>1601274.3261113663</v>
      </c>
      <c r="AE25" s="489">
        <v>20</v>
      </c>
      <c r="AF25">
        <f t="shared" si="10"/>
        <v>0</v>
      </c>
      <c r="AH25" s="477">
        <v>56074.52821792224</v>
      </c>
      <c r="AI25">
        <f t="shared" si="11"/>
        <v>56074528.21792224</v>
      </c>
      <c r="AJ25" s="490">
        <v>1603.711252</v>
      </c>
      <c r="AK25">
        <f t="shared" si="12"/>
        <v>1603711.252</v>
      </c>
    </row>
    <row r="26" spans="1:37" ht="15" customHeight="1">
      <c r="A26" s="453" t="s">
        <v>766</v>
      </c>
      <c r="B26" s="467">
        <v>1416</v>
      </c>
      <c r="C26" s="468">
        <f t="shared" si="0"/>
        <v>3345954.253785714</v>
      </c>
      <c r="D26" s="468">
        <f t="shared" si="1"/>
        <v>567671.5795923646</v>
      </c>
      <c r="E26" s="468">
        <v>0</v>
      </c>
      <c r="F26" s="468">
        <f t="shared" si="2"/>
        <v>3913625.8333780784</v>
      </c>
      <c r="G26" s="469">
        <f t="shared" si="3"/>
        <v>2763.8600518206767</v>
      </c>
      <c r="H26" s="460">
        <f t="shared" si="4"/>
        <v>1023.2599481793231</v>
      </c>
      <c r="I26" s="380">
        <f t="shared" si="5"/>
      </c>
      <c r="J26" s="380">
        <f t="shared" si="6"/>
      </c>
      <c r="K26" s="461">
        <f t="shared" si="7"/>
        <v>818.6079585434586</v>
      </c>
      <c r="L26" s="488">
        <f t="shared" si="8"/>
        <v>1159148.8692975375</v>
      </c>
      <c r="M26" s="488"/>
      <c r="N26" s="478">
        <v>46</v>
      </c>
      <c r="O26" s="389" t="s">
        <v>766</v>
      </c>
      <c r="P26" s="471">
        <v>0</v>
      </c>
      <c r="Q26" s="472" t="s">
        <v>767</v>
      </c>
      <c r="X26" s="473" t="s">
        <v>66</v>
      </c>
      <c r="Y26" s="474">
        <v>21</v>
      </c>
      <c r="Z26" s="475">
        <v>3539800.47</v>
      </c>
      <c r="AA26" s="476">
        <f t="shared" si="9"/>
        <v>16856192.714285713</v>
      </c>
      <c r="AB26" s="475">
        <v>567671.5795923646</v>
      </c>
      <c r="AE26" s="489">
        <v>46</v>
      </c>
      <c r="AF26">
        <f t="shared" si="10"/>
        <v>0</v>
      </c>
      <c r="AH26" s="477">
        <v>3521.6279794852703</v>
      </c>
      <c r="AI26">
        <f t="shared" si="11"/>
        <v>3521627.97948527</v>
      </c>
      <c r="AJ26" s="490">
        <v>568.5355</v>
      </c>
      <c r="AK26">
        <f t="shared" si="12"/>
        <v>568535.5</v>
      </c>
    </row>
    <row r="27" spans="1:37" ht="15" customHeight="1">
      <c r="A27" s="453" t="s">
        <v>768</v>
      </c>
      <c r="B27" s="467">
        <v>1893</v>
      </c>
      <c r="C27" s="468">
        <f t="shared" si="0"/>
        <v>4759206.182964707</v>
      </c>
      <c r="D27" s="468">
        <f t="shared" si="1"/>
        <v>386268.9621740532</v>
      </c>
      <c r="E27" s="468">
        <v>0</v>
      </c>
      <c r="F27" s="468">
        <f t="shared" si="2"/>
        <v>5145475.14513876</v>
      </c>
      <c r="G27" s="469">
        <f t="shared" si="3"/>
        <v>2718.1590835387005</v>
      </c>
      <c r="H27" s="460">
        <f t="shared" si="4"/>
        <v>1068.9609164612993</v>
      </c>
      <c r="I27" s="380">
        <f t="shared" si="5"/>
      </c>
      <c r="J27" s="380">
        <f t="shared" si="6"/>
      </c>
      <c r="K27" s="461">
        <f t="shared" si="7"/>
        <v>855.1687331690396</v>
      </c>
      <c r="L27" s="488">
        <f t="shared" si="8"/>
        <v>1618834.411888992</v>
      </c>
      <c r="M27" s="488"/>
      <c r="N27" s="478">
        <v>47</v>
      </c>
      <c r="O27" s="479" t="s">
        <v>769</v>
      </c>
      <c r="P27" s="471">
        <v>0</v>
      </c>
      <c r="Q27" s="472" t="s">
        <v>770</v>
      </c>
      <c r="X27" s="473" t="s">
        <v>67</v>
      </c>
      <c r="Y27" s="474">
        <v>21.25</v>
      </c>
      <c r="Z27" s="475">
        <v>5094868.08</v>
      </c>
      <c r="AA27" s="476">
        <f t="shared" si="9"/>
        <v>23975849.788235296</v>
      </c>
      <c r="AB27" s="475">
        <v>386268.9621740532</v>
      </c>
      <c r="AE27" s="489">
        <v>47</v>
      </c>
      <c r="AF27">
        <f t="shared" si="10"/>
        <v>0</v>
      </c>
      <c r="AH27" s="477">
        <v>5096.814910207722</v>
      </c>
      <c r="AI27">
        <f t="shared" si="11"/>
        <v>5096814.910207722</v>
      </c>
      <c r="AJ27" s="490">
        <v>386.856812</v>
      </c>
      <c r="AK27">
        <f t="shared" si="12"/>
        <v>386856.812</v>
      </c>
    </row>
    <row r="28" spans="1:37" ht="15" customHeight="1">
      <c r="A28" s="453" t="s">
        <v>771</v>
      </c>
      <c r="B28" s="467">
        <v>279044</v>
      </c>
      <c r="C28" s="468">
        <f t="shared" si="0"/>
        <v>1380415300.9410555</v>
      </c>
      <c r="D28" s="468">
        <f t="shared" si="1"/>
        <v>126555228.67845106</v>
      </c>
      <c r="E28" s="468">
        <v>0</v>
      </c>
      <c r="F28" s="468">
        <f t="shared" si="2"/>
        <v>1506970529.6195066</v>
      </c>
      <c r="G28" s="469">
        <f t="shared" si="3"/>
        <v>5400.476375121868</v>
      </c>
      <c r="H28" s="460">
        <f t="shared" si="4"/>
        <v>-1613.356375121868</v>
      </c>
      <c r="I28" s="380">
        <f t="shared" si="5"/>
        <v>7.386071993040911</v>
      </c>
      <c r="J28" s="380">
        <f t="shared" si="6"/>
        <v>37.386071993040915</v>
      </c>
      <c r="K28" s="461">
        <f t="shared" si="7"/>
        <v>-603.1705759073768</v>
      </c>
      <c r="L28" s="488">
        <f t="shared" si="8"/>
        <v>-168311130.18349805</v>
      </c>
      <c r="M28" s="488"/>
      <c r="N28" s="478">
        <v>49</v>
      </c>
      <c r="O28" s="479" t="s">
        <v>772</v>
      </c>
      <c r="P28" s="471">
        <v>1</v>
      </c>
      <c r="Q28" s="472" t="s">
        <v>762</v>
      </c>
      <c r="T28" s="64"/>
      <c r="X28" s="473" t="s">
        <v>68</v>
      </c>
      <c r="Y28" s="474">
        <v>18</v>
      </c>
      <c r="Z28" s="475">
        <v>1251761985.74</v>
      </c>
      <c r="AA28" s="476">
        <f t="shared" si="9"/>
        <v>6954233254.111111</v>
      </c>
      <c r="AB28" s="475">
        <v>126555228.67845106</v>
      </c>
      <c r="AE28" s="489">
        <v>49</v>
      </c>
      <c r="AF28">
        <f t="shared" si="10"/>
        <v>0</v>
      </c>
      <c r="AH28" s="477">
        <v>1256352.5713750473</v>
      </c>
      <c r="AI28">
        <f t="shared" si="11"/>
        <v>1256352571.3750472</v>
      </c>
      <c r="AJ28" s="490">
        <v>126747.82885199999</v>
      </c>
      <c r="AK28">
        <f t="shared" si="12"/>
        <v>126747828.852</v>
      </c>
    </row>
    <row r="29" spans="1:37" ht="15" customHeight="1">
      <c r="A29" s="466" t="s">
        <v>773</v>
      </c>
      <c r="B29" s="467">
        <v>11910</v>
      </c>
      <c r="C29" s="468">
        <f t="shared" si="0"/>
        <v>37132331.96956097</v>
      </c>
      <c r="D29" s="468">
        <f t="shared" si="1"/>
        <v>1974433.6953368569</v>
      </c>
      <c r="E29" s="468">
        <v>0</v>
      </c>
      <c r="F29" s="468">
        <f t="shared" si="2"/>
        <v>39106765.66489783</v>
      </c>
      <c r="G29" s="469">
        <f t="shared" si="3"/>
        <v>3283.523565482605</v>
      </c>
      <c r="H29" s="460">
        <f t="shared" si="4"/>
        <v>503.59643451739475</v>
      </c>
      <c r="I29" s="380">
        <f t="shared" si="5"/>
      </c>
      <c r="J29" s="380">
        <f t="shared" si="6"/>
      </c>
      <c r="K29" s="461">
        <f t="shared" si="7"/>
        <v>402.87714761391584</v>
      </c>
      <c r="L29" s="488">
        <f t="shared" si="8"/>
        <v>4798266.828081737</v>
      </c>
      <c r="M29" s="488"/>
      <c r="N29" s="470">
        <v>50</v>
      </c>
      <c r="O29" s="389" t="s">
        <v>773</v>
      </c>
      <c r="P29" s="471">
        <v>0</v>
      </c>
      <c r="Q29" s="472" t="s">
        <v>774</v>
      </c>
      <c r="X29" s="473" t="s">
        <v>69</v>
      </c>
      <c r="Y29" s="474">
        <v>20.5</v>
      </c>
      <c r="Z29" s="475">
        <v>38348252.16</v>
      </c>
      <c r="AA29" s="476">
        <f t="shared" si="9"/>
        <v>187064644.6829268</v>
      </c>
      <c r="AB29" s="475">
        <v>1974433.6953368569</v>
      </c>
      <c r="AC29" s="475"/>
      <c r="AE29" s="489">
        <v>50</v>
      </c>
      <c r="AF29">
        <f t="shared" si="10"/>
        <v>0</v>
      </c>
      <c r="AH29" s="477">
        <v>38474.97463014478</v>
      </c>
      <c r="AI29">
        <f t="shared" si="11"/>
        <v>38474974.63014478</v>
      </c>
      <c r="AJ29" s="490">
        <v>1977.43852</v>
      </c>
      <c r="AK29">
        <f t="shared" si="12"/>
        <v>1977438.52</v>
      </c>
    </row>
    <row r="30" spans="1:37" ht="15" customHeight="1">
      <c r="A30" s="453" t="s">
        <v>775</v>
      </c>
      <c r="B30" s="467">
        <v>9521</v>
      </c>
      <c r="C30" s="468">
        <f t="shared" si="0"/>
        <v>32180135.81461111</v>
      </c>
      <c r="D30" s="468">
        <f t="shared" si="1"/>
        <v>2332210.6265806914</v>
      </c>
      <c r="E30" s="468">
        <f>3.1*T30/100/2</f>
        <v>9058959.841</v>
      </c>
      <c r="F30" s="468">
        <f t="shared" si="2"/>
        <v>43571306.2821918</v>
      </c>
      <c r="G30" s="469">
        <f t="shared" si="3"/>
        <v>4576.337179097973</v>
      </c>
      <c r="H30" s="460">
        <f t="shared" si="4"/>
        <v>-789.2171790979728</v>
      </c>
      <c r="I30" s="380">
        <f t="shared" si="5"/>
        <v>6.671041541648461</v>
      </c>
      <c r="J30" s="380">
        <f t="shared" si="6"/>
        <v>36.671041541648464</v>
      </c>
      <c r="K30" s="461">
        <f t="shared" si="7"/>
        <v>-289.4141596008438</v>
      </c>
      <c r="L30" s="488">
        <f t="shared" si="8"/>
        <v>-2755512.2135596336</v>
      </c>
      <c r="M30" s="488"/>
      <c r="N30" s="478">
        <v>51</v>
      </c>
      <c r="O30" s="479" t="s">
        <v>776</v>
      </c>
      <c r="P30" s="471">
        <v>0</v>
      </c>
      <c r="Q30" s="472" t="s">
        <v>774</v>
      </c>
      <c r="T30" s="64">
        <v>584449022</v>
      </c>
      <c r="U30" s="491"/>
      <c r="X30" s="473" t="s">
        <v>70</v>
      </c>
      <c r="Y30" s="474">
        <v>18</v>
      </c>
      <c r="Z30" s="475">
        <v>29180979.58</v>
      </c>
      <c r="AA30" s="476">
        <f t="shared" si="9"/>
        <v>162116553.2222222</v>
      </c>
      <c r="AB30" s="475">
        <v>2332210.6265806914</v>
      </c>
      <c r="AC30" s="475"/>
      <c r="AE30" s="489">
        <v>51</v>
      </c>
      <c r="AF30">
        <f t="shared" si="10"/>
        <v>0</v>
      </c>
      <c r="AH30" s="477">
        <v>28889.873123832844</v>
      </c>
      <c r="AI30">
        <f t="shared" si="11"/>
        <v>28889873.123832844</v>
      </c>
      <c r="AJ30" s="490">
        <v>2335.75994</v>
      </c>
      <c r="AK30">
        <f t="shared" si="12"/>
        <v>2335759.94</v>
      </c>
    </row>
    <row r="31" spans="1:37" ht="15" customHeight="1">
      <c r="A31" s="453" t="s">
        <v>777</v>
      </c>
      <c r="B31" s="467">
        <v>2499</v>
      </c>
      <c r="C31" s="468">
        <f t="shared" si="0"/>
        <v>6174296.854232558</v>
      </c>
      <c r="D31" s="468">
        <f t="shared" si="1"/>
        <v>631126.9050529728</v>
      </c>
      <c r="E31" s="468">
        <v>0</v>
      </c>
      <c r="F31" s="468">
        <f t="shared" si="2"/>
        <v>6805423.759285531</v>
      </c>
      <c r="G31" s="469">
        <f t="shared" si="3"/>
        <v>2723.2588072371072</v>
      </c>
      <c r="H31" s="460">
        <f t="shared" si="4"/>
        <v>1063.8611927628926</v>
      </c>
      <c r="I31" s="380">
        <f t="shared" si="5"/>
      </c>
      <c r="J31" s="380">
        <f t="shared" si="6"/>
      </c>
      <c r="K31" s="461">
        <f t="shared" si="7"/>
        <v>851.0889542103141</v>
      </c>
      <c r="L31" s="488">
        <f t="shared" si="8"/>
        <v>2126871.296571575</v>
      </c>
      <c r="M31" s="488"/>
      <c r="N31" s="478">
        <v>52</v>
      </c>
      <c r="O31" s="389" t="s">
        <v>777</v>
      </c>
      <c r="P31" s="471">
        <v>0</v>
      </c>
      <c r="Q31" s="472" t="s">
        <v>755</v>
      </c>
      <c r="X31" s="473" t="s">
        <v>71</v>
      </c>
      <c r="Y31" s="474">
        <v>21.5</v>
      </c>
      <c r="Z31" s="475">
        <v>6687525.56</v>
      </c>
      <c r="AA31" s="476">
        <f t="shared" si="9"/>
        <v>31104770.046511628</v>
      </c>
      <c r="AB31" s="475">
        <v>631126.9050529728</v>
      </c>
      <c r="AE31" s="489">
        <v>52</v>
      </c>
      <c r="AF31">
        <f t="shared" si="10"/>
        <v>0</v>
      </c>
      <c r="AH31" s="477">
        <v>6577.882077270478</v>
      </c>
      <c r="AI31">
        <f t="shared" si="11"/>
        <v>6577882.077270478</v>
      </c>
      <c r="AJ31" s="490">
        <v>632.087396</v>
      </c>
      <c r="AK31">
        <f t="shared" si="12"/>
        <v>632087.3960000001</v>
      </c>
    </row>
    <row r="32" spans="1:37" ht="15" customHeight="1">
      <c r="A32" s="453" t="s">
        <v>778</v>
      </c>
      <c r="B32" s="467">
        <v>17185</v>
      </c>
      <c r="C32" s="468">
        <f t="shared" si="0"/>
        <v>50143913.19041464</v>
      </c>
      <c r="D32" s="468">
        <f t="shared" si="1"/>
        <v>3696192.460206991</v>
      </c>
      <c r="E32" s="468">
        <v>0</v>
      </c>
      <c r="F32" s="468">
        <f t="shared" si="2"/>
        <v>53840105.65062163</v>
      </c>
      <c r="G32" s="469">
        <f t="shared" si="3"/>
        <v>3132.970942718745</v>
      </c>
      <c r="H32" s="460">
        <f t="shared" si="4"/>
        <v>654.149057281255</v>
      </c>
      <c r="I32" s="380">
        <f t="shared" si="5"/>
      </c>
      <c r="J32" s="380">
        <f t="shared" si="6"/>
      </c>
      <c r="K32" s="461">
        <f t="shared" si="7"/>
        <v>523.319245825004</v>
      </c>
      <c r="L32" s="488">
        <f t="shared" si="8"/>
        <v>8993241.239502694</v>
      </c>
      <c r="M32" s="488"/>
      <c r="N32" s="478">
        <v>61</v>
      </c>
      <c r="O32" s="389" t="s">
        <v>778</v>
      </c>
      <c r="P32" s="471">
        <v>0</v>
      </c>
      <c r="Q32" s="472" t="s">
        <v>779</v>
      </c>
      <c r="X32" s="473" t="s">
        <v>72</v>
      </c>
      <c r="Y32" s="474">
        <v>20.5</v>
      </c>
      <c r="Z32" s="475">
        <v>51785905.31</v>
      </c>
      <c r="AA32" s="476">
        <f t="shared" si="9"/>
        <v>252614172.24390244</v>
      </c>
      <c r="AB32" s="475">
        <v>3696192.460206991</v>
      </c>
      <c r="AE32" s="489">
        <v>61</v>
      </c>
      <c r="AF32">
        <f t="shared" si="10"/>
        <v>0</v>
      </c>
      <c r="AH32" s="477">
        <v>51811.262422674</v>
      </c>
      <c r="AI32">
        <f t="shared" si="11"/>
        <v>51811262.422674</v>
      </c>
      <c r="AJ32" s="490">
        <v>3701.8175720000004</v>
      </c>
      <c r="AK32">
        <f t="shared" si="12"/>
        <v>3701817.572</v>
      </c>
    </row>
    <row r="33" spans="1:37" ht="15" customHeight="1">
      <c r="A33" s="453" t="s">
        <v>780</v>
      </c>
      <c r="B33" s="467">
        <v>7251</v>
      </c>
      <c r="C33" s="468">
        <f t="shared" si="0"/>
        <v>17661843.23511364</v>
      </c>
      <c r="D33" s="468">
        <f t="shared" si="1"/>
        <v>1394322.0997890786</v>
      </c>
      <c r="E33" s="468">
        <v>0</v>
      </c>
      <c r="F33" s="468">
        <f t="shared" si="2"/>
        <v>19056165.33490272</v>
      </c>
      <c r="G33" s="469">
        <f t="shared" si="3"/>
        <v>2628.074104937625</v>
      </c>
      <c r="H33" s="460">
        <f t="shared" si="4"/>
        <v>1159.0458950623747</v>
      </c>
      <c r="I33" s="380">
        <f t="shared" si="5"/>
      </c>
      <c r="J33" s="380">
        <f t="shared" si="6"/>
      </c>
      <c r="K33" s="461">
        <f t="shared" si="7"/>
        <v>927.2367160498998</v>
      </c>
      <c r="L33" s="488">
        <f t="shared" si="8"/>
        <v>6723393.4280778235</v>
      </c>
      <c r="M33" s="488"/>
      <c r="N33" s="478">
        <v>69</v>
      </c>
      <c r="O33" s="389" t="s">
        <v>780</v>
      </c>
      <c r="P33" s="471">
        <v>0</v>
      </c>
      <c r="Q33" s="472" t="s">
        <v>757</v>
      </c>
      <c r="X33" s="473" t="s">
        <v>73</v>
      </c>
      <c r="Y33" s="474">
        <v>22</v>
      </c>
      <c r="Z33" s="475">
        <v>19574838.85</v>
      </c>
      <c r="AA33" s="476">
        <f t="shared" si="9"/>
        <v>88976540.22727273</v>
      </c>
      <c r="AB33" s="475">
        <v>1394322.0997890786</v>
      </c>
      <c r="AE33" s="489">
        <v>69</v>
      </c>
      <c r="AF33">
        <f t="shared" si="10"/>
        <v>0</v>
      </c>
      <c r="AH33" s="477">
        <v>19512.186747691765</v>
      </c>
      <c r="AI33">
        <f t="shared" si="11"/>
        <v>19512186.747691765</v>
      </c>
      <c r="AJ33" s="490">
        <v>1396.444072</v>
      </c>
      <c r="AK33">
        <f t="shared" si="12"/>
        <v>1396444.072</v>
      </c>
    </row>
    <row r="34" spans="1:37" ht="15" customHeight="1">
      <c r="A34" s="453" t="s">
        <v>781</v>
      </c>
      <c r="B34" s="467">
        <v>6970</v>
      </c>
      <c r="C34" s="468">
        <f t="shared" si="0"/>
        <v>16278293.579386365</v>
      </c>
      <c r="D34" s="468">
        <f t="shared" si="1"/>
        <v>1342135.0774744547</v>
      </c>
      <c r="E34" s="468">
        <v>0</v>
      </c>
      <c r="F34" s="468">
        <f t="shared" si="2"/>
        <v>17620428.65686082</v>
      </c>
      <c r="G34" s="469">
        <f t="shared" si="3"/>
        <v>2528.0385447433027</v>
      </c>
      <c r="H34" s="460">
        <f t="shared" si="4"/>
        <v>1259.0814552566972</v>
      </c>
      <c r="I34" s="380">
        <f t="shared" si="5"/>
      </c>
      <c r="J34" s="380">
        <f t="shared" si="6"/>
      </c>
      <c r="K34" s="461">
        <f t="shared" si="7"/>
        <v>1007.2651642053578</v>
      </c>
      <c r="L34" s="488">
        <f t="shared" si="8"/>
        <v>7020638.194511344</v>
      </c>
      <c r="M34" s="488"/>
      <c r="N34" s="478">
        <v>71</v>
      </c>
      <c r="O34" s="389" t="s">
        <v>781</v>
      </c>
      <c r="P34" s="471">
        <v>0</v>
      </c>
      <c r="Q34" s="472" t="s">
        <v>757</v>
      </c>
      <c r="X34" s="473" t="s">
        <v>74</v>
      </c>
      <c r="Y34" s="474">
        <v>22</v>
      </c>
      <c r="Z34" s="475">
        <v>18041433.69</v>
      </c>
      <c r="AA34" s="476">
        <f t="shared" si="9"/>
        <v>82006516.77272728</v>
      </c>
      <c r="AB34" s="475">
        <v>1342135.0774744547</v>
      </c>
      <c r="AE34" s="489">
        <v>71</v>
      </c>
      <c r="AF34">
        <f t="shared" si="10"/>
        <v>0</v>
      </c>
      <c r="AH34" s="477">
        <v>17811.38983240052</v>
      </c>
      <c r="AI34">
        <f t="shared" si="11"/>
        <v>17811389.83240052</v>
      </c>
      <c r="AJ34" s="490">
        <v>1344.177628</v>
      </c>
      <c r="AK34">
        <f t="shared" si="12"/>
        <v>1344177.628</v>
      </c>
    </row>
    <row r="35" spans="1:37" ht="15" customHeight="1">
      <c r="A35" s="453" t="s">
        <v>782</v>
      </c>
      <c r="B35" s="467">
        <v>967</v>
      </c>
      <c r="C35" s="468">
        <f t="shared" si="0"/>
        <v>2998785.939317073</v>
      </c>
      <c r="D35" s="468">
        <f t="shared" si="1"/>
        <v>97459.58751048299</v>
      </c>
      <c r="E35" s="468">
        <v>0</v>
      </c>
      <c r="F35" s="468">
        <f t="shared" si="2"/>
        <v>3096245.526827556</v>
      </c>
      <c r="G35" s="469">
        <f t="shared" si="3"/>
        <v>3201.9085075776175</v>
      </c>
      <c r="H35" s="460">
        <f t="shared" si="4"/>
        <v>585.2114924223824</v>
      </c>
      <c r="I35" s="380">
        <f t="shared" si="5"/>
      </c>
      <c r="J35" s="380">
        <f t="shared" si="6"/>
      </c>
      <c r="K35" s="461">
        <f t="shared" si="7"/>
        <v>468.16919393790596</v>
      </c>
      <c r="L35" s="488">
        <f t="shared" si="8"/>
        <v>452719.6105379551</v>
      </c>
      <c r="M35" s="488"/>
      <c r="N35" s="478">
        <v>72</v>
      </c>
      <c r="O35" s="479" t="s">
        <v>783</v>
      </c>
      <c r="P35" s="471">
        <v>0</v>
      </c>
      <c r="Q35" s="472" t="s">
        <v>757</v>
      </c>
      <c r="X35" s="473" t="s">
        <v>75</v>
      </c>
      <c r="Y35" s="474">
        <v>20.5</v>
      </c>
      <c r="Z35" s="475">
        <v>3096982.96</v>
      </c>
      <c r="AA35" s="476">
        <f t="shared" si="9"/>
        <v>15107233.951219512</v>
      </c>
      <c r="AB35" s="475">
        <v>97459.58751048299</v>
      </c>
      <c r="AE35" s="489">
        <v>72</v>
      </c>
      <c r="AF35">
        <f t="shared" si="10"/>
        <v>0</v>
      </c>
      <c r="AH35" s="477">
        <v>3133.485173749541</v>
      </c>
      <c r="AI35">
        <f t="shared" si="11"/>
        <v>3133485.173749541</v>
      </c>
      <c r="AJ35" s="490">
        <v>97.60790800000001</v>
      </c>
      <c r="AK35">
        <f t="shared" si="12"/>
        <v>97607.90800000001</v>
      </c>
    </row>
    <row r="36" spans="1:37" ht="15" customHeight="1">
      <c r="A36" s="453" t="s">
        <v>784</v>
      </c>
      <c r="B36" s="467">
        <v>1171</v>
      </c>
      <c r="C36" s="468">
        <f t="shared" si="0"/>
        <v>2586529.8435227275</v>
      </c>
      <c r="D36" s="468">
        <f t="shared" si="1"/>
        <v>418980.06024697196</v>
      </c>
      <c r="E36" s="468">
        <v>0</v>
      </c>
      <c r="F36" s="468">
        <f t="shared" si="2"/>
        <v>3005509.9037696994</v>
      </c>
      <c r="G36" s="469">
        <f t="shared" si="3"/>
        <v>2566.618192800768</v>
      </c>
      <c r="H36" s="460">
        <f t="shared" si="4"/>
        <v>1220.5018071992317</v>
      </c>
      <c r="I36" s="380">
        <f t="shared" si="5"/>
      </c>
      <c r="J36" s="380">
        <f t="shared" si="6"/>
      </c>
      <c r="K36" s="461">
        <f t="shared" si="7"/>
        <v>976.4014457593854</v>
      </c>
      <c r="L36" s="488">
        <f t="shared" si="8"/>
        <v>1143366.0929842403</v>
      </c>
      <c r="M36" s="488"/>
      <c r="N36" s="478">
        <v>74</v>
      </c>
      <c r="O36" s="389" t="s">
        <v>784</v>
      </c>
      <c r="P36" s="471">
        <v>0</v>
      </c>
      <c r="Q36" s="472" t="s">
        <v>785</v>
      </c>
      <c r="X36" s="473" t="s">
        <v>76</v>
      </c>
      <c r="Y36" s="474">
        <v>22</v>
      </c>
      <c r="Z36" s="475">
        <v>2866682.95</v>
      </c>
      <c r="AA36" s="476">
        <f t="shared" si="9"/>
        <v>13030377.045454545</v>
      </c>
      <c r="AB36" s="475">
        <v>418980.06024697196</v>
      </c>
      <c r="AE36" s="489">
        <v>74</v>
      </c>
      <c r="AF36">
        <f t="shared" si="10"/>
        <v>0</v>
      </c>
      <c r="AH36" s="477">
        <v>2818.214815414888</v>
      </c>
      <c r="AI36">
        <f t="shared" si="11"/>
        <v>2818214.8154148883</v>
      </c>
      <c r="AJ36" s="490">
        <v>419.61769200000003</v>
      </c>
      <c r="AK36">
        <f t="shared" si="12"/>
        <v>419617.69200000004</v>
      </c>
    </row>
    <row r="37" spans="1:37" ht="15" customHeight="1">
      <c r="A37" s="453" t="s">
        <v>786</v>
      </c>
      <c r="B37" s="467">
        <v>20493</v>
      </c>
      <c r="C37" s="468">
        <f t="shared" si="0"/>
        <v>66750179.59195237</v>
      </c>
      <c r="D37" s="468">
        <f t="shared" si="1"/>
        <v>5555392.837280271</v>
      </c>
      <c r="E37" s="468">
        <v>0</v>
      </c>
      <c r="F37" s="468">
        <f t="shared" si="2"/>
        <v>72305572.42923264</v>
      </c>
      <c r="G37" s="469">
        <f t="shared" si="3"/>
        <v>3528.3058814830742</v>
      </c>
      <c r="H37" s="460">
        <f t="shared" si="4"/>
        <v>258.81411851692565</v>
      </c>
      <c r="I37" s="380">
        <f t="shared" si="5"/>
      </c>
      <c r="J37" s="380">
        <f t="shared" si="6"/>
      </c>
      <c r="K37" s="461">
        <f t="shared" si="7"/>
        <v>207.05129481354052</v>
      </c>
      <c r="L37" s="488">
        <f t="shared" si="8"/>
        <v>4243102.184613886</v>
      </c>
      <c r="M37" s="488"/>
      <c r="N37" s="478">
        <v>75</v>
      </c>
      <c r="O37" s="479" t="s">
        <v>787</v>
      </c>
      <c r="P37" s="471">
        <v>0</v>
      </c>
      <c r="Q37" s="472" t="s">
        <v>788</v>
      </c>
      <c r="X37" s="473" t="s">
        <v>77</v>
      </c>
      <c r="Y37" s="474">
        <v>21</v>
      </c>
      <c r="Z37" s="475">
        <v>70617318.46</v>
      </c>
      <c r="AA37" s="476">
        <f t="shared" si="9"/>
        <v>336272945.047619</v>
      </c>
      <c r="AB37" s="475">
        <v>5555392.837280271</v>
      </c>
      <c r="AE37" s="489">
        <v>75</v>
      </c>
      <c r="AF37">
        <f t="shared" si="10"/>
        <v>0</v>
      </c>
      <c r="AH37" s="477">
        <v>70949.02410908301</v>
      </c>
      <c r="AI37">
        <f t="shared" si="11"/>
        <v>70949024.10908301</v>
      </c>
      <c r="AJ37" s="490">
        <v>5563.847404</v>
      </c>
      <c r="AK37">
        <f t="shared" si="12"/>
        <v>5563847.404</v>
      </c>
    </row>
    <row r="38" spans="1:37" ht="15" customHeight="1">
      <c r="A38" s="453" t="s">
        <v>789</v>
      </c>
      <c r="B38" s="467">
        <v>5019</v>
      </c>
      <c r="C38" s="468">
        <f t="shared" si="0"/>
        <v>11724368.673795456</v>
      </c>
      <c r="D38" s="468">
        <f t="shared" si="1"/>
        <v>892166.761218797</v>
      </c>
      <c r="E38" s="468">
        <v>0</v>
      </c>
      <c r="F38" s="468">
        <f t="shared" si="2"/>
        <v>12616535.435014253</v>
      </c>
      <c r="G38" s="469">
        <f t="shared" si="3"/>
        <v>2513.7548186918216</v>
      </c>
      <c r="H38" s="460">
        <f t="shared" si="4"/>
        <v>1273.3651813081783</v>
      </c>
      <c r="I38" s="380">
        <f t="shared" si="5"/>
      </c>
      <c r="J38" s="380">
        <f t="shared" si="6"/>
      </c>
      <c r="K38" s="461">
        <f t="shared" si="7"/>
        <v>1018.6921450465427</v>
      </c>
      <c r="L38" s="488">
        <f t="shared" si="8"/>
        <v>5112815.875988598</v>
      </c>
      <c r="M38" s="488"/>
      <c r="N38" s="478">
        <v>77</v>
      </c>
      <c r="O38" s="389" t="s">
        <v>789</v>
      </c>
      <c r="P38" s="471">
        <v>0</v>
      </c>
      <c r="Q38" s="472" t="s">
        <v>790</v>
      </c>
      <c r="X38" s="473" t="s">
        <v>78</v>
      </c>
      <c r="Y38" s="474">
        <v>22</v>
      </c>
      <c r="Z38" s="475">
        <v>12994262.51</v>
      </c>
      <c r="AA38" s="476">
        <f t="shared" si="9"/>
        <v>59064829.59090909</v>
      </c>
      <c r="AB38" s="475">
        <v>892166.761218797</v>
      </c>
      <c r="AE38" s="489">
        <v>77</v>
      </c>
      <c r="AF38">
        <f t="shared" si="10"/>
        <v>0</v>
      </c>
      <c r="AH38" s="477">
        <v>12816.478702005792</v>
      </c>
      <c r="AI38">
        <f t="shared" si="11"/>
        <v>12816478.702005792</v>
      </c>
      <c r="AJ38" s="490">
        <v>893.52452</v>
      </c>
      <c r="AK38">
        <f t="shared" si="12"/>
        <v>893524.52</v>
      </c>
    </row>
    <row r="39" spans="1:37" ht="15" customHeight="1">
      <c r="A39" s="453" t="s">
        <v>791</v>
      </c>
      <c r="B39" s="467">
        <v>8517</v>
      </c>
      <c r="C39" s="468">
        <f t="shared" si="0"/>
        <v>30375437.07374713</v>
      </c>
      <c r="D39" s="468">
        <f t="shared" si="1"/>
        <v>3017182.4468564717</v>
      </c>
      <c r="E39" s="468">
        <v>0</v>
      </c>
      <c r="F39" s="468">
        <f t="shared" si="2"/>
        <v>33392619.5206036</v>
      </c>
      <c r="G39" s="469">
        <f t="shared" si="3"/>
        <v>3920.7020688744396</v>
      </c>
      <c r="H39" s="460">
        <f t="shared" si="4"/>
        <v>-133.58206887443976</v>
      </c>
      <c r="I39" s="380">
        <f t="shared" si="5"/>
        <v>4.894716037083226</v>
      </c>
      <c r="J39" s="380">
        <f t="shared" si="6"/>
        <v>34.89471603708323</v>
      </c>
      <c r="K39" s="461">
        <f t="shared" si="7"/>
        <v>-46.61308361019669</v>
      </c>
      <c r="L39" s="488">
        <f t="shared" si="8"/>
        <v>-397003.6331080452</v>
      </c>
      <c r="M39" s="488"/>
      <c r="N39" s="478">
        <v>78</v>
      </c>
      <c r="O39" s="479" t="s">
        <v>792</v>
      </c>
      <c r="P39" s="471">
        <v>1</v>
      </c>
      <c r="Q39" s="472" t="s">
        <v>762</v>
      </c>
      <c r="X39" s="473" t="s">
        <v>79</v>
      </c>
      <c r="Y39" s="474">
        <v>21.75</v>
      </c>
      <c r="Z39" s="475">
        <v>33282909.64</v>
      </c>
      <c r="AA39" s="476">
        <f t="shared" si="9"/>
        <v>153024871.90804598</v>
      </c>
      <c r="AB39" s="475">
        <v>3017182.4468564717</v>
      </c>
      <c r="AE39" s="489">
        <v>78</v>
      </c>
      <c r="AF39">
        <f t="shared" si="10"/>
        <v>0</v>
      </c>
      <c r="AH39" s="477">
        <v>33419.49686175915</v>
      </c>
      <c r="AI39">
        <f t="shared" si="11"/>
        <v>33419496.861759152</v>
      </c>
      <c r="AJ39" s="490">
        <v>3021.774196</v>
      </c>
      <c r="AK39">
        <f t="shared" si="12"/>
        <v>3021774.196</v>
      </c>
    </row>
    <row r="40" spans="1:37" ht="15" customHeight="1">
      <c r="A40" s="453" t="s">
        <v>793</v>
      </c>
      <c r="B40" s="467">
        <v>7151</v>
      </c>
      <c r="C40" s="468">
        <f t="shared" si="0"/>
        <v>23070121.881662652</v>
      </c>
      <c r="D40" s="468">
        <f t="shared" si="1"/>
        <v>8043116.521734816</v>
      </c>
      <c r="E40" s="468">
        <v>0</v>
      </c>
      <c r="F40" s="468">
        <f t="shared" si="2"/>
        <v>31113238.403397467</v>
      </c>
      <c r="G40" s="469">
        <f t="shared" si="3"/>
        <v>4350.893358047471</v>
      </c>
      <c r="H40" s="460">
        <f t="shared" si="4"/>
        <v>-563.7733580474714</v>
      </c>
      <c r="I40" s="380">
        <f t="shared" si="5"/>
        <v>6.334652323302181</v>
      </c>
      <c r="J40" s="380">
        <f t="shared" si="6"/>
        <v>36.33465232330218</v>
      </c>
      <c r="K40" s="461">
        <f t="shared" si="7"/>
        <v>-204.8450895379543</v>
      </c>
      <c r="L40" s="488">
        <f t="shared" si="8"/>
        <v>-1464847.2352859112</v>
      </c>
      <c r="M40" s="488"/>
      <c r="N40" s="478">
        <v>79</v>
      </c>
      <c r="O40" s="389" t="s">
        <v>793</v>
      </c>
      <c r="P40" s="471">
        <v>0</v>
      </c>
      <c r="Q40" s="472" t="s">
        <v>774</v>
      </c>
      <c r="X40" s="473" t="s">
        <v>80</v>
      </c>
      <c r="Y40" s="474">
        <v>20.75</v>
      </c>
      <c r="Z40" s="475">
        <v>24116122.37</v>
      </c>
      <c r="AA40" s="476">
        <f t="shared" si="9"/>
        <v>116222276.48192771</v>
      </c>
      <c r="AB40" s="475">
        <v>8043116.521734816</v>
      </c>
      <c r="AE40" s="489">
        <v>79</v>
      </c>
      <c r="AF40">
        <f t="shared" si="10"/>
        <v>0</v>
      </c>
      <c r="AH40" s="477">
        <v>24214.545745405743</v>
      </c>
      <c r="AI40">
        <f t="shared" si="11"/>
        <v>24214545.745405745</v>
      </c>
      <c r="AJ40" s="490">
        <v>8055.357072</v>
      </c>
      <c r="AK40">
        <f t="shared" si="12"/>
        <v>8055357.072</v>
      </c>
    </row>
    <row r="41" spans="1:37" ht="15" customHeight="1">
      <c r="A41" s="453" t="s">
        <v>794</v>
      </c>
      <c r="B41" s="467">
        <v>2882</v>
      </c>
      <c r="C41" s="468">
        <f t="shared" si="0"/>
        <v>7394544.047348838</v>
      </c>
      <c r="D41" s="468">
        <f t="shared" si="1"/>
        <v>1264793.3971932207</v>
      </c>
      <c r="E41" s="468">
        <v>0</v>
      </c>
      <c r="F41" s="468">
        <f t="shared" si="2"/>
        <v>8659337.44454206</v>
      </c>
      <c r="G41" s="469">
        <f t="shared" si="3"/>
        <v>3004.6278433525536</v>
      </c>
      <c r="H41" s="460">
        <f t="shared" si="4"/>
        <v>782.4921566474463</v>
      </c>
      <c r="I41" s="380">
        <f t="shared" si="5"/>
      </c>
      <c r="J41" s="380">
        <f t="shared" si="6"/>
      </c>
      <c r="K41" s="461">
        <f t="shared" si="7"/>
        <v>625.9937253179571</v>
      </c>
      <c r="L41" s="488">
        <f t="shared" si="8"/>
        <v>1804113.9163663525</v>
      </c>
      <c r="M41" s="488"/>
      <c r="N41" s="478">
        <v>81</v>
      </c>
      <c r="O41" s="389" t="s">
        <v>794</v>
      </c>
      <c r="P41" s="471">
        <v>0</v>
      </c>
      <c r="Q41" s="472" t="s">
        <v>760</v>
      </c>
      <c r="X41" s="473" t="s">
        <v>81</v>
      </c>
      <c r="Y41" s="474">
        <v>21.5</v>
      </c>
      <c r="Z41" s="475">
        <v>8009203.88</v>
      </c>
      <c r="AA41" s="476">
        <f t="shared" si="9"/>
        <v>37252111.069767445</v>
      </c>
      <c r="AB41" s="475">
        <v>1264793.3971932207</v>
      </c>
      <c r="AE41" s="489">
        <v>81</v>
      </c>
      <c r="AF41">
        <f t="shared" si="10"/>
        <v>0</v>
      </c>
      <c r="AH41" s="477">
        <v>7114.476079418552</v>
      </c>
      <c r="AI41">
        <f t="shared" si="11"/>
        <v>7114476.079418552</v>
      </c>
      <c r="AJ41" s="490">
        <v>1266.718244</v>
      </c>
      <c r="AK41">
        <f t="shared" si="12"/>
        <v>1266718.244</v>
      </c>
    </row>
    <row r="42" spans="1:37" ht="15" customHeight="1">
      <c r="A42" s="453" t="s">
        <v>795</v>
      </c>
      <c r="B42" s="467">
        <v>9610</v>
      </c>
      <c r="C42" s="468">
        <f t="shared" si="0"/>
        <v>32771976.26807317</v>
      </c>
      <c r="D42" s="468">
        <f t="shared" si="1"/>
        <v>1341253.7587240108</v>
      </c>
      <c r="E42" s="468">
        <v>0</v>
      </c>
      <c r="F42" s="468">
        <f t="shared" si="2"/>
        <v>34113230.02679718</v>
      </c>
      <c r="G42" s="469">
        <f t="shared" si="3"/>
        <v>3549.7637905095926</v>
      </c>
      <c r="H42" s="460">
        <f t="shared" si="4"/>
        <v>237.3562094904073</v>
      </c>
      <c r="I42" s="380">
        <f t="shared" si="5"/>
      </c>
      <c r="J42" s="380">
        <f t="shared" si="6"/>
      </c>
      <c r="K42" s="461">
        <f t="shared" si="7"/>
        <v>189.88496759232586</v>
      </c>
      <c r="L42" s="488">
        <f t="shared" si="8"/>
        <v>1824794.5385622515</v>
      </c>
      <c r="M42" s="488"/>
      <c r="N42" s="478">
        <v>82</v>
      </c>
      <c r="O42" s="389" t="s">
        <v>795</v>
      </c>
      <c r="P42" s="471">
        <v>0</v>
      </c>
      <c r="Q42" s="472" t="s">
        <v>779</v>
      </c>
      <c r="X42" s="473" t="s">
        <v>82</v>
      </c>
      <c r="Y42" s="474">
        <v>20.5</v>
      </c>
      <c r="Z42" s="475">
        <v>33845114.03</v>
      </c>
      <c r="AA42" s="476">
        <f t="shared" si="9"/>
        <v>165098117.2195122</v>
      </c>
      <c r="AB42" s="475">
        <v>1341253.7587240108</v>
      </c>
      <c r="AE42" s="489">
        <v>82</v>
      </c>
      <c r="AF42">
        <f t="shared" si="10"/>
        <v>0</v>
      </c>
      <c r="AH42" s="477">
        <v>34054.226749817106</v>
      </c>
      <c r="AI42">
        <f t="shared" si="11"/>
        <v>34054226.7498171</v>
      </c>
      <c r="AJ42" s="490">
        <v>1343.2949680000002</v>
      </c>
      <c r="AK42">
        <f t="shared" si="12"/>
        <v>1343294.968</v>
      </c>
    </row>
    <row r="43" spans="1:37" ht="15" customHeight="1">
      <c r="A43" s="453" t="s">
        <v>796</v>
      </c>
      <c r="B43" s="467">
        <v>8504</v>
      </c>
      <c r="C43" s="468">
        <f t="shared" si="0"/>
        <v>27220298.629534885</v>
      </c>
      <c r="D43" s="468">
        <f t="shared" si="1"/>
        <v>1090027.0442657385</v>
      </c>
      <c r="E43" s="468">
        <v>0</v>
      </c>
      <c r="F43" s="468">
        <f t="shared" si="2"/>
        <v>28310325.673800625</v>
      </c>
      <c r="G43" s="469">
        <f t="shared" si="3"/>
        <v>3329.059933419641</v>
      </c>
      <c r="H43" s="460">
        <f t="shared" si="4"/>
        <v>458.06006658035903</v>
      </c>
      <c r="I43" s="380">
        <f t="shared" si="5"/>
      </c>
      <c r="J43" s="380">
        <f t="shared" si="6"/>
      </c>
      <c r="K43" s="461">
        <f t="shared" si="7"/>
        <v>366.44805326428724</v>
      </c>
      <c r="L43" s="488">
        <f t="shared" si="8"/>
        <v>3116274.2449594988</v>
      </c>
      <c r="M43" s="488"/>
      <c r="N43" s="478">
        <v>86</v>
      </c>
      <c r="O43" s="389" t="s">
        <v>796</v>
      </c>
      <c r="P43" s="471">
        <v>0</v>
      </c>
      <c r="Q43" s="472" t="s">
        <v>779</v>
      </c>
      <c r="X43" s="473" t="s">
        <v>83</v>
      </c>
      <c r="Y43" s="474">
        <v>21.5</v>
      </c>
      <c r="Z43" s="475">
        <v>29482943.1</v>
      </c>
      <c r="AA43" s="476">
        <f t="shared" si="9"/>
        <v>137129967.90697673</v>
      </c>
      <c r="AB43" s="475">
        <v>1090027.0442657385</v>
      </c>
      <c r="AE43" s="489">
        <v>86</v>
      </c>
      <c r="AF43">
        <f t="shared" si="10"/>
        <v>0</v>
      </c>
      <c r="AH43" s="477">
        <v>29500.648243352603</v>
      </c>
      <c r="AI43">
        <f t="shared" si="11"/>
        <v>29500648.243352603</v>
      </c>
      <c r="AJ43" s="490">
        <v>1091.68592</v>
      </c>
      <c r="AK43">
        <f t="shared" si="12"/>
        <v>1091685.92</v>
      </c>
    </row>
    <row r="44" spans="1:37" ht="15" customHeight="1">
      <c r="A44" s="453" t="s">
        <v>797</v>
      </c>
      <c r="B44" s="467">
        <v>3455</v>
      </c>
      <c r="C44" s="468">
        <f t="shared" si="0"/>
        <v>8016692.365476191</v>
      </c>
      <c r="D44" s="468">
        <f t="shared" si="1"/>
        <v>2061129.555803846</v>
      </c>
      <c r="E44" s="468">
        <v>0</v>
      </c>
      <c r="F44" s="468">
        <f t="shared" si="2"/>
        <v>10077821.921280038</v>
      </c>
      <c r="G44" s="469">
        <f t="shared" si="3"/>
        <v>2916.8804403126014</v>
      </c>
      <c r="H44" s="460">
        <f t="shared" si="4"/>
        <v>870.2395596873985</v>
      </c>
      <c r="I44" s="380">
        <f t="shared" si="5"/>
      </c>
      <c r="J44" s="380">
        <f t="shared" si="6"/>
      </c>
      <c r="K44" s="461">
        <f t="shared" si="7"/>
        <v>696.1916477499188</v>
      </c>
      <c r="L44" s="488">
        <f t="shared" si="8"/>
        <v>2405342.1429759697</v>
      </c>
      <c r="M44" s="488"/>
      <c r="N44" s="478">
        <v>90</v>
      </c>
      <c r="O44" s="389" t="s">
        <v>797</v>
      </c>
      <c r="P44" s="471">
        <v>0</v>
      </c>
      <c r="Q44" s="472" t="s">
        <v>767</v>
      </c>
      <c r="X44" s="473" t="s">
        <v>85</v>
      </c>
      <c r="Y44" s="474">
        <v>21</v>
      </c>
      <c r="Z44" s="475">
        <v>8481135.5</v>
      </c>
      <c r="AA44" s="476">
        <f t="shared" si="9"/>
        <v>40386359.52380952</v>
      </c>
      <c r="AB44" s="475">
        <v>2061129.555803846</v>
      </c>
      <c r="AE44" s="489">
        <v>90</v>
      </c>
      <c r="AF44">
        <f t="shared" si="10"/>
        <v>0</v>
      </c>
      <c r="AH44" s="477">
        <v>8473.71738987428</v>
      </c>
      <c r="AI44">
        <f t="shared" si="11"/>
        <v>8473717.38987428</v>
      </c>
      <c r="AJ44" s="490">
        <v>2064.26632</v>
      </c>
      <c r="AK44">
        <f t="shared" si="12"/>
        <v>2064266.32</v>
      </c>
    </row>
    <row r="45" spans="1:37" ht="15" customHeight="1">
      <c r="A45" s="453" t="s">
        <v>798</v>
      </c>
      <c r="B45" s="467">
        <v>643272</v>
      </c>
      <c r="C45" s="468">
        <f t="shared" si="0"/>
        <v>2851287491.81325</v>
      </c>
      <c r="D45" s="468">
        <f t="shared" si="1"/>
        <v>591252945.2439756</v>
      </c>
      <c r="E45" s="468">
        <v>0</v>
      </c>
      <c r="F45" s="468">
        <f t="shared" si="2"/>
        <v>3442540437.0572257</v>
      </c>
      <c r="G45" s="469">
        <f t="shared" si="3"/>
        <v>5351.609330201261</v>
      </c>
      <c r="H45" s="460">
        <f t="shared" si="4"/>
        <v>-1564.4893302012615</v>
      </c>
      <c r="I45" s="380">
        <f t="shared" si="5"/>
        <v>7.355314743144014</v>
      </c>
      <c r="J45" s="380">
        <f t="shared" si="6"/>
        <v>37.355314743144014</v>
      </c>
      <c r="K45" s="461">
        <f t="shared" si="7"/>
        <v>-584.4199134195869</v>
      </c>
      <c r="L45" s="488">
        <f t="shared" si="8"/>
        <v>-375940966.5452445</v>
      </c>
      <c r="M45" s="488"/>
      <c r="N45" s="478">
        <v>91</v>
      </c>
      <c r="O45" s="479" t="s">
        <v>799</v>
      </c>
      <c r="P45" s="471">
        <v>1</v>
      </c>
      <c r="Q45" s="472" t="s">
        <v>762</v>
      </c>
      <c r="X45" s="473" t="s">
        <v>86</v>
      </c>
      <c r="Y45" s="474">
        <v>18</v>
      </c>
      <c r="Z45" s="475">
        <v>2585550370.41</v>
      </c>
      <c r="AA45" s="476">
        <f t="shared" si="9"/>
        <v>14364168724.5</v>
      </c>
      <c r="AB45" s="475">
        <v>591252945.2439756</v>
      </c>
      <c r="AE45" s="489">
        <v>91</v>
      </c>
      <c r="AF45">
        <f t="shared" si="10"/>
        <v>0</v>
      </c>
      <c r="AH45" s="477">
        <v>2590143.631496326</v>
      </c>
      <c r="AI45">
        <f t="shared" si="11"/>
        <v>2590143631.496326</v>
      </c>
      <c r="AJ45" s="490">
        <v>592152.753344</v>
      </c>
      <c r="AK45">
        <f t="shared" si="12"/>
        <v>592152753.344</v>
      </c>
    </row>
    <row r="46" spans="1:37" ht="15" customHeight="1">
      <c r="A46" s="453" t="s">
        <v>800</v>
      </c>
      <c r="B46" s="467">
        <v>223027</v>
      </c>
      <c r="C46" s="468">
        <f t="shared" si="0"/>
        <v>873754368.1758947</v>
      </c>
      <c r="D46" s="468">
        <f t="shared" si="1"/>
        <v>77235574.75968166</v>
      </c>
      <c r="E46" s="468">
        <v>0</v>
      </c>
      <c r="F46" s="468">
        <f t="shared" si="2"/>
        <v>950989942.9355764</v>
      </c>
      <c r="G46" s="469">
        <f t="shared" si="3"/>
        <v>4264.012621501327</v>
      </c>
      <c r="H46" s="460">
        <f t="shared" si="4"/>
        <v>-476.8926215013271</v>
      </c>
      <c r="I46" s="380">
        <f t="shared" si="5"/>
        <v>6.167291353390249</v>
      </c>
      <c r="J46" s="380">
        <f t="shared" si="6"/>
        <v>36.16729135339025</v>
      </c>
      <c r="K46" s="461">
        <f t="shared" si="7"/>
        <v>-172.47914386120556</v>
      </c>
      <c r="L46" s="488">
        <f t="shared" si="8"/>
        <v>-38467506.01793309</v>
      </c>
      <c r="M46" s="488"/>
      <c r="N46" s="478">
        <v>92</v>
      </c>
      <c r="O46" s="479" t="s">
        <v>801</v>
      </c>
      <c r="P46" s="471">
        <v>1</v>
      </c>
      <c r="Q46" s="472" t="s">
        <v>762</v>
      </c>
      <c r="X46" s="473" t="s">
        <v>334</v>
      </c>
      <c r="Y46" s="474">
        <v>19</v>
      </c>
      <c r="Z46" s="475">
        <v>836339193.72</v>
      </c>
      <c r="AA46" s="476">
        <f t="shared" si="9"/>
        <v>4401785230.105263</v>
      </c>
      <c r="AB46" s="475">
        <v>77235574.75968166</v>
      </c>
      <c r="AE46" s="489">
        <v>92</v>
      </c>
      <c r="AF46">
        <f t="shared" si="10"/>
        <v>0</v>
      </c>
      <c r="AH46" s="477">
        <v>835929.2882034068</v>
      </c>
      <c r="AI46">
        <f t="shared" si="11"/>
        <v>835929288.2034068</v>
      </c>
      <c r="AJ46" s="490">
        <v>77353.117</v>
      </c>
      <c r="AK46">
        <f t="shared" si="12"/>
        <v>77353117</v>
      </c>
    </row>
    <row r="47" spans="1:37" ht="15" customHeight="1">
      <c r="A47" s="453" t="s">
        <v>802</v>
      </c>
      <c r="B47" s="467">
        <v>2236</v>
      </c>
      <c r="C47" s="468">
        <f t="shared" si="0"/>
        <v>5573285.026025</v>
      </c>
      <c r="D47" s="468">
        <f t="shared" si="1"/>
        <v>889424.6303760952</v>
      </c>
      <c r="E47" s="468">
        <v>0</v>
      </c>
      <c r="F47" s="468">
        <f t="shared" si="2"/>
        <v>6462709.656401095</v>
      </c>
      <c r="G47" s="469">
        <f t="shared" si="3"/>
        <v>2890.2994885514736</v>
      </c>
      <c r="H47" s="460">
        <f t="shared" si="4"/>
        <v>896.8205114485263</v>
      </c>
      <c r="I47" s="380">
        <f t="shared" si="5"/>
      </c>
      <c r="J47" s="380">
        <f t="shared" si="6"/>
      </c>
      <c r="K47" s="461">
        <f t="shared" si="7"/>
        <v>717.4564091588211</v>
      </c>
      <c r="L47" s="488">
        <f t="shared" si="8"/>
        <v>1604232.530879124</v>
      </c>
      <c r="M47" s="488"/>
      <c r="N47" s="478">
        <v>97</v>
      </c>
      <c r="O47" s="389" t="s">
        <v>802</v>
      </c>
      <c r="P47" s="471">
        <v>0</v>
      </c>
      <c r="Q47" s="472" t="s">
        <v>767</v>
      </c>
      <c r="X47" s="473" t="s">
        <v>87</v>
      </c>
      <c r="Y47" s="474">
        <v>20</v>
      </c>
      <c r="Z47" s="475">
        <v>5615400.53</v>
      </c>
      <c r="AA47" s="476">
        <f t="shared" si="9"/>
        <v>28077002.65</v>
      </c>
      <c r="AB47" s="475">
        <v>889424.6303760952</v>
      </c>
      <c r="AE47" s="489">
        <v>97</v>
      </c>
      <c r="AF47">
        <f t="shared" si="10"/>
        <v>0</v>
      </c>
      <c r="AH47" s="477">
        <v>5673.969409727196</v>
      </c>
      <c r="AI47">
        <f t="shared" si="11"/>
        <v>5673969.409727196</v>
      </c>
      <c r="AJ47" s="490">
        <v>890.7782159999999</v>
      </c>
      <c r="AK47">
        <f t="shared" si="12"/>
        <v>890778.2159999999</v>
      </c>
    </row>
    <row r="48" spans="1:37" s="1" customFormat="1" ht="15" customHeight="1">
      <c r="A48" s="453" t="s">
        <v>803</v>
      </c>
      <c r="B48" s="467">
        <v>23782</v>
      </c>
      <c r="C48" s="468">
        <f t="shared" si="0"/>
        <v>78651245.71190476</v>
      </c>
      <c r="D48" s="468">
        <f t="shared" si="1"/>
        <v>2844714.2803958016</v>
      </c>
      <c r="E48" s="468">
        <v>0</v>
      </c>
      <c r="F48" s="468">
        <f t="shared" si="2"/>
        <v>81495959.99230057</v>
      </c>
      <c r="G48" s="469">
        <f t="shared" si="3"/>
        <v>3426.791690871271</v>
      </c>
      <c r="H48" s="460">
        <f t="shared" si="4"/>
        <v>360.32830912872896</v>
      </c>
      <c r="I48" s="380">
        <f t="shared" si="5"/>
      </c>
      <c r="J48" s="380">
        <f t="shared" si="6"/>
      </c>
      <c r="K48" s="461">
        <f t="shared" si="7"/>
        <v>288.26264730298317</v>
      </c>
      <c r="L48" s="488">
        <f t="shared" si="8"/>
        <v>6855462.278159546</v>
      </c>
      <c r="M48" s="488"/>
      <c r="N48" s="478">
        <v>98</v>
      </c>
      <c r="O48" s="389" t="s">
        <v>803</v>
      </c>
      <c r="P48" s="471">
        <v>0</v>
      </c>
      <c r="Q48" s="472" t="s">
        <v>760</v>
      </c>
      <c r="R48"/>
      <c r="S48"/>
      <c r="T48"/>
      <c r="U48"/>
      <c r="V48"/>
      <c r="W48"/>
      <c r="X48" s="473" t="s">
        <v>88</v>
      </c>
      <c r="Y48" s="474">
        <v>21</v>
      </c>
      <c r="Z48" s="475">
        <v>83207867</v>
      </c>
      <c r="AA48" s="476">
        <f t="shared" si="9"/>
        <v>396227938.0952381</v>
      </c>
      <c r="AB48" s="475">
        <v>2844714.2803958016</v>
      </c>
      <c r="AC48"/>
      <c r="AE48" s="489">
        <v>98</v>
      </c>
      <c r="AF48">
        <f t="shared" si="10"/>
        <v>0</v>
      </c>
      <c r="AH48" s="477">
        <v>83142.8038420225</v>
      </c>
      <c r="AI48">
        <f t="shared" si="11"/>
        <v>83142803.84202251</v>
      </c>
      <c r="AJ48" s="490">
        <v>2849.0435559999996</v>
      </c>
      <c r="AK48">
        <f t="shared" si="12"/>
        <v>2849043.5559999994</v>
      </c>
    </row>
    <row r="49" spans="1:37" ht="15" customHeight="1">
      <c r="A49" s="453" t="s">
        <v>804</v>
      </c>
      <c r="B49" s="467">
        <v>1707</v>
      </c>
      <c r="C49" s="468">
        <f t="shared" si="0"/>
        <v>3977388.964</v>
      </c>
      <c r="D49" s="468">
        <f t="shared" si="1"/>
        <v>699524.1855174016</v>
      </c>
      <c r="E49" s="468">
        <v>0</v>
      </c>
      <c r="F49" s="468">
        <f t="shared" si="2"/>
        <v>4676913.149517402</v>
      </c>
      <c r="G49" s="469">
        <f t="shared" si="3"/>
        <v>2739.8436728280035</v>
      </c>
      <c r="H49" s="460">
        <f t="shared" si="4"/>
        <v>1047.2763271719964</v>
      </c>
      <c r="I49" s="380">
        <f t="shared" si="5"/>
      </c>
      <c r="J49" s="380">
        <f t="shared" si="6"/>
      </c>
      <c r="K49" s="461">
        <f t="shared" si="7"/>
        <v>837.8210617375971</v>
      </c>
      <c r="L49" s="488">
        <f t="shared" si="8"/>
        <v>1430160.5523860783</v>
      </c>
      <c r="M49" s="488"/>
      <c r="N49" s="478">
        <v>99</v>
      </c>
      <c r="O49" s="389" t="s">
        <v>804</v>
      </c>
      <c r="P49" s="471">
        <v>0</v>
      </c>
      <c r="Q49" s="472" t="s">
        <v>774</v>
      </c>
      <c r="X49" s="473" t="s">
        <v>89</v>
      </c>
      <c r="Y49" s="474">
        <v>22</v>
      </c>
      <c r="Z49" s="475">
        <v>4408189.28</v>
      </c>
      <c r="AA49" s="476">
        <f t="shared" si="9"/>
        <v>20037224</v>
      </c>
      <c r="AB49" s="475">
        <v>699524.1855174016</v>
      </c>
      <c r="AE49" s="489">
        <v>99</v>
      </c>
      <c r="AF49">
        <f t="shared" si="10"/>
        <v>0</v>
      </c>
      <c r="AH49" s="477">
        <v>4244.75209367673</v>
      </c>
      <c r="AI49">
        <f t="shared" si="11"/>
        <v>4244752.09367673</v>
      </c>
      <c r="AJ49" s="490">
        <v>700.5887680000001</v>
      </c>
      <c r="AK49">
        <f t="shared" si="12"/>
        <v>700588.768</v>
      </c>
    </row>
    <row r="50" spans="1:37" ht="15" customHeight="1">
      <c r="A50" s="466" t="s">
        <v>805</v>
      </c>
      <c r="B50" s="467">
        <v>10207</v>
      </c>
      <c r="C50" s="468">
        <f t="shared" si="0"/>
        <v>27579967.972698797</v>
      </c>
      <c r="D50" s="468">
        <f t="shared" si="1"/>
        <v>1939107.3613041542</v>
      </c>
      <c r="E50" s="468">
        <v>0</v>
      </c>
      <c r="F50" s="468">
        <f t="shared" si="2"/>
        <v>29519075.33400295</v>
      </c>
      <c r="G50" s="469">
        <f t="shared" si="3"/>
        <v>2892.042258646316</v>
      </c>
      <c r="H50" s="460">
        <f t="shared" si="4"/>
        <v>895.0777413536839</v>
      </c>
      <c r="I50" s="380">
        <f t="shared" si="5"/>
      </c>
      <c r="J50" s="380">
        <f t="shared" si="6"/>
      </c>
      <c r="K50" s="461">
        <f t="shared" si="7"/>
        <v>716.0621930829471</v>
      </c>
      <c r="L50" s="488">
        <f t="shared" si="8"/>
        <v>7308846.804797642</v>
      </c>
      <c r="M50" s="488"/>
      <c r="N50" s="470">
        <v>102</v>
      </c>
      <c r="O50" s="389" t="s">
        <v>805</v>
      </c>
      <c r="P50" s="471">
        <v>0</v>
      </c>
      <c r="Q50" s="472" t="s">
        <v>774</v>
      </c>
      <c r="X50" s="473" t="s">
        <v>90</v>
      </c>
      <c r="Y50" s="474">
        <v>20.75</v>
      </c>
      <c r="Z50" s="475">
        <v>28830445.11</v>
      </c>
      <c r="AA50" s="476">
        <f t="shared" si="9"/>
        <v>138941904.1445783</v>
      </c>
      <c r="AB50" s="475">
        <v>1939107.3613041542</v>
      </c>
      <c r="AE50" s="489">
        <v>102</v>
      </c>
      <c r="AF50">
        <f t="shared" si="10"/>
        <v>0</v>
      </c>
      <c r="AH50" s="477">
        <v>28700.714342469313</v>
      </c>
      <c r="AI50">
        <f t="shared" si="11"/>
        <v>28700714.342469312</v>
      </c>
      <c r="AJ50" s="490">
        <v>1942.0584239999998</v>
      </c>
      <c r="AK50">
        <f t="shared" si="12"/>
        <v>1942058.4239999999</v>
      </c>
    </row>
    <row r="51" spans="1:37" ht="15" customHeight="1">
      <c r="A51" s="453" t="s">
        <v>806</v>
      </c>
      <c r="B51" s="467">
        <v>2290</v>
      </c>
      <c r="C51" s="468">
        <f t="shared" si="0"/>
        <v>5999259.6532727275</v>
      </c>
      <c r="D51" s="468">
        <f t="shared" si="1"/>
        <v>386177.3575840177</v>
      </c>
      <c r="E51" s="468">
        <v>0</v>
      </c>
      <c r="F51" s="468">
        <f t="shared" si="2"/>
        <v>6385437.010856745</v>
      </c>
      <c r="G51" s="469">
        <f t="shared" si="3"/>
        <v>2788.4004414221595</v>
      </c>
      <c r="H51" s="460">
        <f t="shared" si="4"/>
        <v>998.7195585778404</v>
      </c>
      <c r="I51" s="380">
        <f t="shared" si="5"/>
      </c>
      <c r="J51" s="380">
        <f t="shared" si="6"/>
      </c>
      <c r="K51" s="461">
        <f t="shared" si="7"/>
        <v>798.9756468622724</v>
      </c>
      <c r="L51" s="488">
        <f t="shared" si="8"/>
        <v>1829654.2313146037</v>
      </c>
      <c r="M51" s="488"/>
      <c r="N51" s="478">
        <v>103</v>
      </c>
      <c r="O51" s="389" t="s">
        <v>806</v>
      </c>
      <c r="P51" s="471">
        <v>0</v>
      </c>
      <c r="Q51" s="472" t="s">
        <v>779</v>
      </c>
      <c r="X51" s="473" t="s">
        <v>91</v>
      </c>
      <c r="Y51" s="474">
        <v>22</v>
      </c>
      <c r="Z51" s="475">
        <v>6649053.52</v>
      </c>
      <c r="AA51" s="476">
        <f t="shared" si="9"/>
        <v>30222970.545454547</v>
      </c>
      <c r="AB51" s="475">
        <v>386177.3575840177</v>
      </c>
      <c r="AE51" s="489">
        <v>103</v>
      </c>
      <c r="AF51">
        <f t="shared" si="10"/>
        <v>0</v>
      </c>
      <c r="AH51" s="477">
        <v>6557.97700471172</v>
      </c>
      <c r="AI51">
        <f t="shared" si="11"/>
        <v>6557977.00471172</v>
      </c>
      <c r="AJ51" s="490">
        <v>386.765068</v>
      </c>
      <c r="AK51">
        <f t="shared" si="12"/>
        <v>386765.06799999997</v>
      </c>
    </row>
    <row r="52" spans="1:37" ht="15" customHeight="1">
      <c r="A52" s="453" t="s">
        <v>807</v>
      </c>
      <c r="B52" s="467">
        <v>2326</v>
      </c>
      <c r="C52" s="468">
        <f t="shared" si="0"/>
        <v>5550055.747080461</v>
      </c>
      <c r="D52" s="468">
        <f t="shared" si="1"/>
        <v>752976.2146604048</v>
      </c>
      <c r="E52" s="468">
        <v>0</v>
      </c>
      <c r="F52" s="468">
        <f t="shared" si="2"/>
        <v>6303031.961740866</v>
      </c>
      <c r="G52" s="469">
        <f t="shared" si="3"/>
        <v>2709.8159766727713</v>
      </c>
      <c r="H52" s="460">
        <f t="shared" si="4"/>
        <v>1077.3040233272286</v>
      </c>
      <c r="I52" s="380">
        <f t="shared" si="5"/>
      </c>
      <c r="J52" s="380">
        <f t="shared" si="6"/>
      </c>
      <c r="K52" s="461">
        <f t="shared" si="7"/>
        <v>861.8432186617829</v>
      </c>
      <c r="L52" s="488">
        <f t="shared" si="8"/>
        <v>2004647.326607307</v>
      </c>
      <c r="M52" s="488"/>
      <c r="N52" s="478">
        <v>105</v>
      </c>
      <c r="O52" s="389" t="s">
        <v>807</v>
      </c>
      <c r="P52" s="471">
        <v>0</v>
      </c>
      <c r="Q52" s="472" t="s">
        <v>808</v>
      </c>
      <c r="X52" s="473" t="s">
        <v>92</v>
      </c>
      <c r="Y52" s="474">
        <v>21.75</v>
      </c>
      <c r="Z52" s="475">
        <v>6081295.34</v>
      </c>
      <c r="AA52" s="476">
        <f t="shared" si="9"/>
        <v>27959978.574712645</v>
      </c>
      <c r="AB52" s="475">
        <v>752976.2146604048</v>
      </c>
      <c r="AE52" s="489">
        <v>105</v>
      </c>
      <c r="AF52">
        <f t="shared" si="10"/>
        <v>0</v>
      </c>
      <c r="AH52" s="477">
        <v>6039.935500592124</v>
      </c>
      <c r="AI52">
        <f t="shared" si="11"/>
        <v>6039935.500592125</v>
      </c>
      <c r="AJ52" s="490">
        <v>754.122144</v>
      </c>
      <c r="AK52">
        <f t="shared" si="12"/>
        <v>754122.1440000001</v>
      </c>
    </row>
    <row r="53" spans="1:37" ht="15" customHeight="1">
      <c r="A53" s="453" t="s">
        <v>809</v>
      </c>
      <c r="B53" s="467">
        <v>46739</v>
      </c>
      <c r="C53" s="468">
        <f t="shared" si="0"/>
        <v>173829691.6507342</v>
      </c>
      <c r="D53" s="468">
        <f t="shared" si="1"/>
        <v>12145104.551225003</v>
      </c>
      <c r="E53" s="468">
        <v>0</v>
      </c>
      <c r="F53" s="468">
        <f t="shared" si="2"/>
        <v>185974796.2019592</v>
      </c>
      <c r="G53" s="469">
        <f t="shared" si="3"/>
        <v>3979.0067438746914</v>
      </c>
      <c r="H53" s="460">
        <f t="shared" si="4"/>
        <v>-191.88674387469155</v>
      </c>
      <c r="I53" s="380">
        <f t="shared" si="5"/>
        <v>5.256905322330044</v>
      </c>
      <c r="J53" s="380">
        <f t="shared" si="6"/>
        <v>35.25690532233004</v>
      </c>
      <c r="K53" s="461">
        <f t="shared" si="7"/>
        <v>-67.65332761400194</v>
      </c>
      <c r="L53" s="488">
        <f t="shared" si="8"/>
        <v>-3162048.8793508364</v>
      </c>
      <c r="M53" s="488"/>
      <c r="N53" s="478">
        <v>106</v>
      </c>
      <c r="O53" s="479" t="s">
        <v>810</v>
      </c>
      <c r="P53" s="471">
        <v>0</v>
      </c>
      <c r="Q53" s="472" t="s">
        <v>762</v>
      </c>
      <c r="X53" s="473" t="s">
        <v>93</v>
      </c>
      <c r="Y53" s="474">
        <v>19.75</v>
      </c>
      <c r="Z53" s="475">
        <v>172953975.32</v>
      </c>
      <c r="AA53" s="476">
        <f t="shared" si="9"/>
        <v>875716330.7341772</v>
      </c>
      <c r="AB53" s="475">
        <v>12145104.551225003</v>
      </c>
      <c r="AE53" s="489">
        <v>106</v>
      </c>
      <c r="AF53">
        <f t="shared" si="10"/>
        <v>0</v>
      </c>
      <c r="AH53" s="477">
        <v>172988.3972664766</v>
      </c>
      <c r="AI53">
        <f t="shared" si="11"/>
        <v>172988397.2664766</v>
      </c>
      <c r="AJ53" s="490">
        <v>12163.58778</v>
      </c>
      <c r="AK53">
        <f t="shared" si="12"/>
        <v>12163587.78</v>
      </c>
    </row>
    <row r="54" spans="1:37" ht="15" customHeight="1">
      <c r="A54" s="453" t="s">
        <v>811</v>
      </c>
      <c r="B54" s="467">
        <v>10599</v>
      </c>
      <c r="C54" s="468">
        <f t="shared" si="0"/>
        <v>31656154.562590912</v>
      </c>
      <c r="D54" s="468">
        <f t="shared" si="1"/>
        <v>1682043.4822316535</v>
      </c>
      <c r="E54" s="468">
        <v>0</v>
      </c>
      <c r="F54" s="468">
        <f t="shared" si="2"/>
        <v>33338198.044822566</v>
      </c>
      <c r="G54" s="469">
        <f t="shared" si="3"/>
        <v>3145.409759866267</v>
      </c>
      <c r="H54" s="460">
        <f t="shared" si="4"/>
        <v>641.7102401337329</v>
      </c>
      <c r="I54" s="380">
        <f t="shared" si="5"/>
      </c>
      <c r="J54" s="380">
        <f t="shared" si="6"/>
      </c>
      <c r="K54" s="461">
        <f t="shared" si="7"/>
        <v>513.3681921069864</v>
      </c>
      <c r="L54" s="488">
        <f t="shared" si="8"/>
        <v>5441189.468141949</v>
      </c>
      <c r="M54" s="488"/>
      <c r="N54" s="478">
        <v>108</v>
      </c>
      <c r="O54" s="479" t="s">
        <v>812</v>
      </c>
      <c r="P54" s="471">
        <v>0</v>
      </c>
      <c r="Q54" s="472" t="s">
        <v>765</v>
      </c>
      <c r="S54" s="1"/>
      <c r="T54" s="1"/>
      <c r="U54" s="1"/>
      <c r="X54" s="473" t="s">
        <v>94</v>
      </c>
      <c r="Y54" s="474">
        <v>22</v>
      </c>
      <c r="Z54" s="475">
        <v>35084906.82</v>
      </c>
      <c r="AA54" s="476">
        <f t="shared" si="9"/>
        <v>159476849.1818182</v>
      </c>
      <c r="AB54" s="475">
        <v>1682043.4822316535</v>
      </c>
      <c r="AC54" s="1"/>
      <c r="AE54" s="489">
        <v>108</v>
      </c>
      <c r="AF54">
        <f t="shared" si="10"/>
        <v>0</v>
      </c>
      <c r="AH54" s="477">
        <v>33971.19321551467</v>
      </c>
      <c r="AI54">
        <f t="shared" si="11"/>
        <v>33971193.215514675</v>
      </c>
      <c r="AJ54" s="490">
        <v>1684.6033280000001</v>
      </c>
      <c r="AK54">
        <f t="shared" si="12"/>
        <v>1684603.3280000002</v>
      </c>
    </row>
    <row r="55" spans="1:37" ht="15" customHeight="1">
      <c r="A55" s="466" t="s">
        <v>813</v>
      </c>
      <c r="B55" s="467">
        <v>67662</v>
      </c>
      <c r="C55" s="468">
        <f t="shared" si="0"/>
        <v>228434179.09195182</v>
      </c>
      <c r="D55" s="468">
        <f t="shared" si="1"/>
        <v>16038486.778914168</v>
      </c>
      <c r="E55" s="468">
        <v>0</v>
      </c>
      <c r="F55" s="468">
        <f t="shared" si="2"/>
        <v>244472665.870866</v>
      </c>
      <c r="G55" s="469">
        <f t="shared" si="3"/>
        <v>3613.1457224271526</v>
      </c>
      <c r="H55" s="460">
        <f t="shared" si="4"/>
        <v>173.9742775728473</v>
      </c>
      <c r="I55" s="380">
        <f t="shared" si="5"/>
      </c>
      <c r="J55" s="380">
        <f t="shared" si="6"/>
      </c>
      <c r="K55" s="461">
        <f t="shared" si="7"/>
        <v>139.17942205827785</v>
      </c>
      <c r="L55" s="488">
        <f t="shared" si="8"/>
        <v>9417158.055307196</v>
      </c>
      <c r="M55" s="488"/>
      <c r="N55" s="470">
        <v>109</v>
      </c>
      <c r="O55" s="479" t="s">
        <v>814</v>
      </c>
      <c r="P55" s="471">
        <v>0</v>
      </c>
      <c r="Q55" s="472" t="s">
        <v>779</v>
      </c>
      <c r="X55" s="473" t="s">
        <v>95</v>
      </c>
      <c r="Y55" s="474">
        <v>20.75</v>
      </c>
      <c r="Z55" s="475">
        <v>238791396.28</v>
      </c>
      <c r="AA55" s="476">
        <f t="shared" si="9"/>
        <v>1150801909.7831326</v>
      </c>
      <c r="AB55" s="475">
        <v>16038486.778914168</v>
      </c>
      <c r="AE55" s="489">
        <v>109</v>
      </c>
      <c r="AF55">
        <f t="shared" si="10"/>
        <v>0</v>
      </c>
      <c r="AH55" s="477">
        <v>238896.15099261934</v>
      </c>
      <c r="AI55">
        <f t="shared" si="11"/>
        <v>238896150.99261934</v>
      </c>
      <c r="AJ55" s="490">
        <v>16062.895216</v>
      </c>
      <c r="AK55">
        <f t="shared" si="12"/>
        <v>16062895.216</v>
      </c>
    </row>
    <row r="56" spans="1:37" ht="15" customHeight="1">
      <c r="A56" s="453" t="s">
        <v>815</v>
      </c>
      <c r="B56" s="467">
        <v>19128</v>
      </c>
      <c r="C56" s="468">
        <f t="shared" si="0"/>
        <v>57712767.834780484</v>
      </c>
      <c r="D56" s="468">
        <f t="shared" si="1"/>
        <v>3032327.426218466</v>
      </c>
      <c r="E56" s="468">
        <v>0</v>
      </c>
      <c r="F56" s="468">
        <f t="shared" si="2"/>
        <v>60745095.26099895</v>
      </c>
      <c r="G56" s="469">
        <f t="shared" si="3"/>
        <v>3175.7159797678246</v>
      </c>
      <c r="H56" s="460">
        <f t="shared" si="4"/>
        <v>611.4040202321753</v>
      </c>
      <c r="I56" s="380">
        <f t="shared" si="5"/>
      </c>
      <c r="J56" s="380">
        <f t="shared" si="6"/>
      </c>
      <c r="K56" s="461">
        <f t="shared" si="7"/>
        <v>489.12321618574026</v>
      </c>
      <c r="L56" s="488">
        <f t="shared" si="8"/>
        <v>9355948.87920084</v>
      </c>
      <c r="M56" s="488"/>
      <c r="N56" s="478">
        <v>111</v>
      </c>
      <c r="O56" s="389" t="s">
        <v>815</v>
      </c>
      <c r="P56" s="471">
        <v>0</v>
      </c>
      <c r="Q56" s="472" t="s">
        <v>760</v>
      </c>
      <c r="X56" s="473" t="s">
        <v>84</v>
      </c>
      <c r="Y56" s="474">
        <v>20.5</v>
      </c>
      <c r="Z56" s="475">
        <v>59602606.58</v>
      </c>
      <c r="AA56" s="476">
        <f t="shared" si="9"/>
        <v>290744422.3414634</v>
      </c>
      <c r="AB56" s="475">
        <v>3032327.426218466</v>
      </c>
      <c r="AE56" s="489">
        <v>111</v>
      </c>
      <c r="AF56">
        <f t="shared" si="10"/>
        <v>0</v>
      </c>
      <c r="AH56" s="477">
        <v>60537.93266499993</v>
      </c>
      <c r="AI56">
        <f t="shared" si="11"/>
        <v>60537932.664999925</v>
      </c>
      <c r="AJ56" s="490">
        <v>3036.9422240000004</v>
      </c>
      <c r="AK56">
        <f t="shared" si="12"/>
        <v>3036942.2240000004</v>
      </c>
    </row>
    <row r="57" spans="1:37" ht="15" customHeight="1">
      <c r="A57" s="453" t="s">
        <v>816</v>
      </c>
      <c r="B57" s="467">
        <v>9966</v>
      </c>
      <c r="C57" s="468">
        <f t="shared" si="0"/>
        <v>25083631.299458824</v>
      </c>
      <c r="D57" s="468">
        <f t="shared" si="1"/>
        <v>1387666.3130085696</v>
      </c>
      <c r="E57" s="468">
        <v>0</v>
      </c>
      <c r="F57" s="468">
        <f t="shared" si="2"/>
        <v>26471297.612467393</v>
      </c>
      <c r="G57" s="469">
        <f t="shared" si="3"/>
        <v>2656.160707652759</v>
      </c>
      <c r="H57" s="460">
        <f t="shared" si="4"/>
        <v>1130.959292347241</v>
      </c>
      <c r="I57" s="380">
        <f t="shared" si="5"/>
      </c>
      <c r="J57" s="380">
        <f t="shared" si="6"/>
      </c>
      <c r="K57" s="461">
        <f t="shared" si="7"/>
        <v>904.7674338777929</v>
      </c>
      <c r="L57" s="488">
        <f t="shared" si="8"/>
        <v>9016912.246026084</v>
      </c>
      <c r="M57" s="488"/>
      <c r="N57" s="478">
        <v>139</v>
      </c>
      <c r="O57" s="389" t="s">
        <v>816</v>
      </c>
      <c r="P57" s="471">
        <v>0</v>
      </c>
      <c r="Q57" s="472" t="s">
        <v>757</v>
      </c>
      <c r="X57" s="473" t="s">
        <v>96</v>
      </c>
      <c r="Y57" s="474">
        <v>21.25</v>
      </c>
      <c r="Z57" s="475">
        <v>26852753.91</v>
      </c>
      <c r="AA57" s="476">
        <f t="shared" si="9"/>
        <v>126365900.75294118</v>
      </c>
      <c r="AB57" s="475">
        <v>1387666.3130085696</v>
      </c>
      <c r="AE57" s="489">
        <v>139</v>
      </c>
      <c r="AF57">
        <f t="shared" si="10"/>
        <v>0</v>
      </c>
      <c r="AH57" s="477">
        <v>26635.05819450224</v>
      </c>
      <c r="AI57">
        <f t="shared" si="11"/>
        <v>26635058.19450224</v>
      </c>
      <c r="AJ57" s="490">
        <v>1389.778156</v>
      </c>
      <c r="AK57">
        <f t="shared" si="12"/>
        <v>1389778.1560000002</v>
      </c>
    </row>
    <row r="58" spans="1:37" ht="15" customHeight="1">
      <c r="A58" s="453" t="s">
        <v>817</v>
      </c>
      <c r="B58" s="467">
        <v>21639</v>
      </c>
      <c r="C58" s="468">
        <f t="shared" si="0"/>
        <v>62638314.551902436</v>
      </c>
      <c r="D58" s="468">
        <f t="shared" si="1"/>
        <v>5942563.203637418</v>
      </c>
      <c r="E58" s="468">
        <v>0</v>
      </c>
      <c r="F58" s="468">
        <f t="shared" si="2"/>
        <v>68580877.75553985</v>
      </c>
      <c r="G58" s="469">
        <f t="shared" si="3"/>
        <v>3169.3182566449395</v>
      </c>
      <c r="H58" s="460">
        <f t="shared" si="4"/>
        <v>617.8017433550604</v>
      </c>
      <c r="I58" s="380">
        <f t="shared" si="5"/>
      </c>
      <c r="J58" s="380">
        <f t="shared" si="6"/>
      </c>
      <c r="K58" s="461">
        <f t="shared" si="7"/>
        <v>494.2413946840483</v>
      </c>
      <c r="L58" s="488">
        <f t="shared" si="8"/>
        <v>10694889.53956812</v>
      </c>
      <c r="M58" s="488"/>
      <c r="N58" s="478">
        <v>140</v>
      </c>
      <c r="O58" s="479" t="s">
        <v>818</v>
      </c>
      <c r="P58" s="471">
        <v>0</v>
      </c>
      <c r="Q58" s="472" t="s">
        <v>819</v>
      </c>
      <c r="X58" s="473" t="s">
        <v>97</v>
      </c>
      <c r="Y58" s="474">
        <v>20.5</v>
      </c>
      <c r="Z58" s="475">
        <v>64689443.24</v>
      </c>
      <c r="AA58" s="476">
        <f t="shared" si="9"/>
        <v>315558259.70731705</v>
      </c>
      <c r="AB58" s="475">
        <v>5942563.203637418</v>
      </c>
      <c r="AE58" s="489">
        <v>140</v>
      </c>
      <c r="AF58">
        <f t="shared" si="10"/>
        <v>0</v>
      </c>
      <c r="AH58" s="477">
        <v>64614.882571069174</v>
      </c>
      <c r="AI58">
        <f t="shared" si="11"/>
        <v>64614882.57106917</v>
      </c>
      <c r="AJ58" s="490">
        <v>5951.606992</v>
      </c>
      <c r="AK58">
        <f t="shared" si="12"/>
        <v>5951606.992</v>
      </c>
    </row>
    <row r="59" spans="1:37" ht="15" customHeight="1">
      <c r="A59" s="453" t="s">
        <v>820</v>
      </c>
      <c r="B59" s="467">
        <v>6820</v>
      </c>
      <c r="C59" s="468">
        <f t="shared" si="0"/>
        <v>19075494.795012053</v>
      </c>
      <c r="D59" s="468">
        <f t="shared" si="1"/>
        <v>1427418.7630831713</v>
      </c>
      <c r="E59" s="468">
        <v>0</v>
      </c>
      <c r="F59" s="468">
        <f t="shared" si="2"/>
        <v>20502913.558095224</v>
      </c>
      <c r="G59" s="469">
        <f t="shared" si="3"/>
        <v>3006.292310571147</v>
      </c>
      <c r="H59" s="460">
        <f t="shared" si="4"/>
        <v>780.8276894288529</v>
      </c>
      <c r="I59" s="380">
        <f t="shared" si="5"/>
      </c>
      <c r="J59" s="380">
        <f t="shared" si="6"/>
      </c>
      <c r="K59" s="461">
        <f t="shared" si="7"/>
        <v>624.6621515430824</v>
      </c>
      <c r="L59" s="488">
        <f t="shared" si="8"/>
        <v>4260195.873523822</v>
      </c>
      <c r="M59" s="488"/>
      <c r="N59" s="478">
        <v>142</v>
      </c>
      <c r="O59" s="389" t="s">
        <v>820</v>
      </c>
      <c r="P59" s="471">
        <v>0</v>
      </c>
      <c r="Q59" s="472" t="s">
        <v>788</v>
      </c>
      <c r="X59" s="473" t="s">
        <v>98</v>
      </c>
      <c r="Y59" s="474">
        <v>20.75</v>
      </c>
      <c r="Z59" s="475">
        <v>19940378.69</v>
      </c>
      <c r="AA59" s="476">
        <f t="shared" si="9"/>
        <v>96098210.55421688</v>
      </c>
      <c r="AB59" s="475">
        <v>1427418.7630831713</v>
      </c>
      <c r="AE59" s="489">
        <v>142</v>
      </c>
      <c r="AF59">
        <f t="shared" si="10"/>
        <v>0</v>
      </c>
      <c r="AH59" s="477">
        <v>19836.725189733195</v>
      </c>
      <c r="AI59">
        <f t="shared" si="11"/>
        <v>19836725.189733196</v>
      </c>
      <c r="AJ59" s="490">
        <v>1429.591104</v>
      </c>
      <c r="AK59">
        <f t="shared" si="12"/>
        <v>1429591.104</v>
      </c>
    </row>
    <row r="60" spans="1:37" ht="15" customHeight="1">
      <c r="A60" s="453" t="s">
        <v>821</v>
      </c>
      <c r="B60" s="467">
        <v>7119</v>
      </c>
      <c r="C60" s="468">
        <f t="shared" si="0"/>
        <v>18738472.93590588</v>
      </c>
      <c r="D60" s="468">
        <f t="shared" si="1"/>
        <v>1689869.1046783533</v>
      </c>
      <c r="E60" s="468">
        <v>0</v>
      </c>
      <c r="F60" s="468">
        <f t="shared" si="2"/>
        <v>20428342.040584236</v>
      </c>
      <c r="G60" s="469">
        <f t="shared" si="3"/>
        <v>2869.552189996381</v>
      </c>
      <c r="H60" s="460">
        <f t="shared" si="4"/>
        <v>917.5678100036189</v>
      </c>
      <c r="I60" s="380">
        <f t="shared" si="5"/>
      </c>
      <c r="J60" s="380">
        <f t="shared" si="6"/>
      </c>
      <c r="K60" s="461">
        <f t="shared" si="7"/>
        <v>734.0542480028952</v>
      </c>
      <c r="L60" s="488">
        <f t="shared" si="8"/>
        <v>5225732.191532611</v>
      </c>
      <c r="M60" s="488"/>
      <c r="N60" s="478">
        <v>143</v>
      </c>
      <c r="O60" s="479" t="s">
        <v>822</v>
      </c>
      <c r="P60" s="471">
        <v>0</v>
      </c>
      <c r="Q60" s="472" t="s">
        <v>765</v>
      </c>
      <c r="X60" s="473" t="s">
        <v>99</v>
      </c>
      <c r="Y60" s="474">
        <v>21.25</v>
      </c>
      <c r="Z60" s="475">
        <v>20060078.08</v>
      </c>
      <c r="AA60" s="476">
        <f t="shared" si="9"/>
        <v>94400367.4352941</v>
      </c>
      <c r="AB60" s="475">
        <v>1689869.1046783533</v>
      </c>
      <c r="AE60" s="489">
        <v>143</v>
      </c>
      <c r="AF60">
        <f t="shared" si="10"/>
        <v>0</v>
      </c>
      <c r="AH60" s="477">
        <v>20176.023043813217</v>
      </c>
      <c r="AI60">
        <f t="shared" si="11"/>
        <v>20176023.043813217</v>
      </c>
      <c r="AJ60" s="490">
        <v>1692.4408600000002</v>
      </c>
      <c r="AK60">
        <f t="shared" si="12"/>
        <v>1692440.86</v>
      </c>
    </row>
    <row r="61" spans="1:37" ht="15" customHeight="1">
      <c r="A61" s="453" t="s">
        <v>823</v>
      </c>
      <c r="B61" s="467">
        <v>12205</v>
      </c>
      <c r="C61" s="468">
        <f t="shared" si="0"/>
        <v>34449247.1966265</v>
      </c>
      <c r="D61" s="468">
        <f t="shared" si="1"/>
        <v>1582937.4523867418</v>
      </c>
      <c r="E61" s="468">
        <v>0</v>
      </c>
      <c r="F61" s="468">
        <f t="shared" si="2"/>
        <v>36032184.64901324</v>
      </c>
      <c r="G61" s="469">
        <f t="shared" si="3"/>
        <v>2952.2478204844933</v>
      </c>
      <c r="H61" s="460">
        <f t="shared" si="4"/>
        <v>834.8721795155066</v>
      </c>
      <c r="I61" s="380">
        <f t="shared" si="5"/>
      </c>
      <c r="J61" s="380">
        <f t="shared" si="6"/>
      </c>
      <c r="K61" s="461">
        <f t="shared" si="7"/>
        <v>667.8977436124053</v>
      </c>
      <c r="L61" s="488">
        <f t="shared" si="8"/>
        <v>8151691.960789407</v>
      </c>
      <c r="M61" s="488"/>
      <c r="N61" s="478">
        <v>145</v>
      </c>
      <c r="O61" s="389" t="s">
        <v>823</v>
      </c>
      <c r="P61" s="471">
        <v>0</v>
      </c>
      <c r="Q61" s="472" t="s">
        <v>755</v>
      </c>
      <c r="X61" s="473" t="s">
        <v>100</v>
      </c>
      <c r="Y61" s="474">
        <v>20.75</v>
      </c>
      <c r="Z61" s="475">
        <v>36011177.8</v>
      </c>
      <c r="AA61" s="476">
        <f t="shared" si="9"/>
        <v>173547844.81927708</v>
      </c>
      <c r="AB61" s="475">
        <v>1582937.4523867418</v>
      </c>
      <c r="AE61" s="489">
        <v>145</v>
      </c>
      <c r="AF61">
        <f t="shared" si="10"/>
        <v>0</v>
      </c>
      <c r="AH61" s="477">
        <v>35891.17660292576</v>
      </c>
      <c r="AI61">
        <f t="shared" si="11"/>
        <v>35891176.60292576</v>
      </c>
      <c r="AJ61" s="490">
        <v>1585.3464720000002</v>
      </c>
      <c r="AK61">
        <f t="shared" si="12"/>
        <v>1585346.472</v>
      </c>
    </row>
    <row r="62" spans="1:37" ht="15" customHeight="1">
      <c r="A62" s="453" t="s">
        <v>824</v>
      </c>
      <c r="B62" s="467">
        <v>5128</v>
      </c>
      <c r="C62" s="468">
        <f t="shared" si="0"/>
        <v>12352829.393012049</v>
      </c>
      <c r="D62" s="468">
        <f t="shared" si="1"/>
        <v>3122071.204161697</v>
      </c>
      <c r="E62" s="468">
        <v>0</v>
      </c>
      <c r="F62" s="468">
        <f t="shared" si="2"/>
        <v>15474900.597173747</v>
      </c>
      <c r="G62" s="469">
        <f t="shared" si="3"/>
        <v>3017.7263255019006</v>
      </c>
      <c r="H62" s="460">
        <f t="shared" si="4"/>
        <v>769.3936744980992</v>
      </c>
      <c r="I62" s="380">
        <f t="shared" si="5"/>
      </c>
      <c r="J62" s="380">
        <f t="shared" si="6"/>
      </c>
      <c r="K62" s="461">
        <f t="shared" si="7"/>
        <v>615.5149395984795</v>
      </c>
      <c r="L62" s="488">
        <f t="shared" si="8"/>
        <v>3156360.610261003</v>
      </c>
      <c r="M62" s="488"/>
      <c r="N62" s="478">
        <v>146</v>
      </c>
      <c r="O62" s="479" t="s">
        <v>825</v>
      </c>
      <c r="P62" s="471">
        <v>0</v>
      </c>
      <c r="Q62" s="472" t="s">
        <v>826</v>
      </c>
      <c r="X62" s="473" t="s">
        <v>101</v>
      </c>
      <c r="Y62" s="474">
        <v>20.75</v>
      </c>
      <c r="Z62" s="475">
        <v>12912907.3</v>
      </c>
      <c r="AA62" s="476">
        <f t="shared" si="9"/>
        <v>62230878.55421687</v>
      </c>
      <c r="AB62" s="475">
        <v>3122071.204161697</v>
      </c>
      <c r="AE62" s="489">
        <v>146</v>
      </c>
      <c r="AF62">
        <f t="shared" si="10"/>
        <v>0</v>
      </c>
      <c r="AH62" s="477">
        <v>12915.59605667418</v>
      </c>
      <c r="AI62">
        <f t="shared" si="11"/>
        <v>12915596.05667418</v>
      </c>
      <c r="AJ62" s="490">
        <v>3126.82258</v>
      </c>
      <c r="AK62">
        <f t="shared" si="12"/>
        <v>3126822.58</v>
      </c>
    </row>
    <row r="63" spans="1:37" ht="15" customHeight="1">
      <c r="A63" s="453" t="s">
        <v>827</v>
      </c>
      <c r="B63" s="467">
        <v>6869</v>
      </c>
      <c r="C63" s="468">
        <f t="shared" si="0"/>
        <v>21249760.726184215</v>
      </c>
      <c r="D63" s="468">
        <f t="shared" si="1"/>
        <v>2511070.653482546</v>
      </c>
      <c r="E63" s="468">
        <v>0</v>
      </c>
      <c r="F63" s="468">
        <f t="shared" si="2"/>
        <v>23760831.37966676</v>
      </c>
      <c r="G63" s="469">
        <f t="shared" si="3"/>
        <v>3459.13981360704</v>
      </c>
      <c r="H63" s="460">
        <f t="shared" si="4"/>
        <v>327.9801863929597</v>
      </c>
      <c r="I63" s="380">
        <f t="shared" si="5"/>
      </c>
      <c r="J63" s="380">
        <f t="shared" si="6"/>
      </c>
      <c r="K63" s="461">
        <f t="shared" si="7"/>
        <v>262.38414911436774</v>
      </c>
      <c r="L63" s="488">
        <f t="shared" si="8"/>
        <v>1802316.720266592</v>
      </c>
      <c r="M63" s="488"/>
      <c r="N63" s="478">
        <v>148</v>
      </c>
      <c r="O63" s="479" t="s">
        <v>828</v>
      </c>
      <c r="P63" s="471">
        <v>0</v>
      </c>
      <c r="Q63" s="472" t="s">
        <v>770</v>
      </c>
      <c r="X63" s="473" t="s">
        <v>103</v>
      </c>
      <c r="Y63" s="474">
        <v>19</v>
      </c>
      <c r="Z63" s="475">
        <v>20339821.35</v>
      </c>
      <c r="AA63" s="476">
        <f t="shared" si="9"/>
        <v>107051691.31578949</v>
      </c>
      <c r="AB63" s="475">
        <v>2511070.653482546</v>
      </c>
      <c r="AE63" s="489">
        <v>148</v>
      </c>
      <c r="AF63">
        <f t="shared" si="10"/>
        <v>0</v>
      </c>
      <c r="AH63" s="477">
        <v>20657.194086571963</v>
      </c>
      <c r="AI63">
        <f t="shared" si="11"/>
        <v>20657194.08657196</v>
      </c>
      <c r="AJ63" s="490">
        <v>2514.892168</v>
      </c>
      <c r="AK63">
        <f t="shared" si="12"/>
        <v>2514892.168</v>
      </c>
    </row>
    <row r="64" spans="1:37" ht="15" customHeight="1">
      <c r="A64" s="453" t="s">
        <v>829</v>
      </c>
      <c r="B64" s="467">
        <v>5481</v>
      </c>
      <c r="C64" s="468">
        <f t="shared" si="0"/>
        <v>20876123.919783134</v>
      </c>
      <c r="D64" s="468">
        <f t="shared" si="1"/>
        <v>1093694.4190106634</v>
      </c>
      <c r="E64" s="468">
        <v>0</v>
      </c>
      <c r="F64" s="468">
        <f t="shared" si="2"/>
        <v>21969818.3387938</v>
      </c>
      <c r="G64" s="469">
        <f t="shared" si="3"/>
        <v>4008.359485275278</v>
      </c>
      <c r="H64" s="460">
        <f t="shared" si="4"/>
        <v>-221.23948527527818</v>
      </c>
      <c r="I64" s="380">
        <f t="shared" si="5"/>
        <v>5.3992457585791955</v>
      </c>
      <c r="J64" s="380">
        <f t="shared" si="6"/>
        <v>35.3992457585792</v>
      </c>
      <c r="K64" s="461">
        <f t="shared" si="7"/>
        <v>-78.31710910761136</v>
      </c>
      <c r="L64" s="488">
        <f t="shared" si="8"/>
        <v>-429256.07501881785</v>
      </c>
      <c r="M64" s="488"/>
      <c r="N64" s="478">
        <v>149</v>
      </c>
      <c r="O64" s="479" t="s">
        <v>830</v>
      </c>
      <c r="P64" s="471">
        <v>3</v>
      </c>
      <c r="Q64" s="472" t="s">
        <v>762</v>
      </c>
      <c r="X64" s="473" t="s">
        <v>104</v>
      </c>
      <c r="Y64" s="474">
        <v>20.75</v>
      </c>
      <c r="Z64" s="475">
        <v>21822648.43</v>
      </c>
      <c r="AA64" s="476">
        <f t="shared" si="9"/>
        <v>105169390.02409638</v>
      </c>
      <c r="AB64" s="475">
        <v>1093694.4190106634</v>
      </c>
      <c r="AE64" s="489">
        <v>149</v>
      </c>
      <c r="AF64">
        <f t="shared" si="10"/>
        <v>0</v>
      </c>
      <c r="AH64" s="477">
        <v>21813.983316944887</v>
      </c>
      <c r="AI64">
        <f t="shared" si="11"/>
        <v>21813983.316944886</v>
      </c>
      <c r="AJ64" s="490">
        <v>1095.3588760000002</v>
      </c>
      <c r="AK64">
        <f t="shared" si="12"/>
        <v>1095358.8760000002</v>
      </c>
    </row>
    <row r="65" spans="1:37" ht="15" customHeight="1">
      <c r="A65" s="453" t="s">
        <v>831</v>
      </c>
      <c r="B65" s="467">
        <v>2032</v>
      </c>
      <c r="C65" s="468">
        <f t="shared" si="0"/>
        <v>4591238.240840909</v>
      </c>
      <c r="D65" s="468">
        <f t="shared" si="1"/>
        <v>624207.0042188165</v>
      </c>
      <c r="E65" s="468">
        <v>0</v>
      </c>
      <c r="F65" s="468">
        <f t="shared" si="2"/>
        <v>5215445.245059726</v>
      </c>
      <c r="G65" s="469">
        <f t="shared" si="3"/>
        <v>2566.656124537267</v>
      </c>
      <c r="H65" s="460">
        <f t="shared" si="4"/>
        <v>1220.463875462733</v>
      </c>
      <c r="I65" s="380">
        <f t="shared" si="5"/>
      </c>
      <c r="J65" s="380">
        <f t="shared" si="6"/>
      </c>
      <c r="K65" s="461">
        <f t="shared" si="7"/>
        <v>976.3711003701865</v>
      </c>
      <c r="L65" s="488">
        <f t="shared" si="8"/>
        <v>1983986.0759522188</v>
      </c>
      <c r="M65" s="488"/>
      <c r="N65" s="478">
        <v>151</v>
      </c>
      <c r="O65" s="479" t="s">
        <v>832</v>
      </c>
      <c r="P65" s="471">
        <v>0</v>
      </c>
      <c r="Q65" s="472" t="s">
        <v>755</v>
      </c>
      <c r="X65" s="473" t="s">
        <v>105</v>
      </c>
      <c r="Y65" s="474">
        <v>22</v>
      </c>
      <c r="Z65" s="475">
        <v>5088526.01</v>
      </c>
      <c r="AA65" s="476">
        <f t="shared" si="9"/>
        <v>23129663.681818184</v>
      </c>
      <c r="AB65" s="475">
        <v>624207.0042188165</v>
      </c>
      <c r="AE65" s="489">
        <v>151</v>
      </c>
      <c r="AF65">
        <f t="shared" si="10"/>
        <v>0</v>
      </c>
      <c r="AH65" s="477">
        <v>5084.0214726631075</v>
      </c>
      <c r="AI65">
        <f t="shared" si="11"/>
        <v>5084021.472663107</v>
      </c>
      <c r="AJ65" s="490">
        <v>625.156964</v>
      </c>
      <c r="AK65">
        <f t="shared" si="12"/>
        <v>625156.964</v>
      </c>
    </row>
    <row r="66" spans="1:37" ht="15" customHeight="1">
      <c r="A66" s="453" t="s">
        <v>833</v>
      </c>
      <c r="B66" s="467">
        <v>4673</v>
      </c>
      <c r="C66" s="468">
        <f t="shared" si="0"/>
        <v>12575214.511023257</v>
      </c>
      <c r="D66" s="468">
        <f t="shared" si="1"/>
        <v>575841.6578233166</v>
      </c>
      <c r="E66" s="468">
        <v>0</v>
      </c>
      <c r="F66" s="468">
        <f t="shared" si="2"/>
        <v>13151056.168846574</v>
      </c>
      <c r="G66" s="469">
        <f t="shared" si="3"/>
        <v>2814.2641063228275</v>
      </c>
      <c r="H66" s="460">
        <f t="shared" si="4"/>
        <v>972.8558936771724</v>
      </c>
      <c r="I66" s="380">
        <f t="shared" si="5"/>
      </c>
      <c r="J66" s="380">
        <f t="shared" si="6"/>
      </c>
      <c r="K66" s="461">
        <f t="shared" si="7"/>
        <v>778.284714941738</v>
      </c>
      <c r="L66" s="488">
        <f t="shared" si="8"/>
        <v>3636924.472922742</v>
      </c>
      <c r="M66" s="488"/>
      <c r="N66" s="478">
        <v>152</v>
      </c>
      <c r="O66" s="479" t="s">
        <v>834</v>
      </c>
      <c r="P66" s="471">
        <v>0</v>
      </c>
      <c r="Q66" s="472" t="s">
        <v>835</v>
      </c>
      <c r="X66" s="473" t="s">
        <v>106</v>
      </c>
      <c r="Y66" s="474">
        <v>21.5</v>
      </c>
      <c r="Z66" s="475">
        <v>13620509.42</v>
      </c>
      <c r="AA66" s="476">
        <f t="shared" si="9"/>
        <v>63351206.60465116</v>
      </c>
      <c r="AB66" s="475">
        <v>575841.6578233166</v>
      </c>
      <c r="AE66" s="489">
        <v>152</v>
      </c>
      <c r="AF66">
        <f t="shared" si="10"/>
        <v>0</v>
      </c>
      <c r="AH66" s="477">
        <v>13412.277306283002</v>
      </c>
      <c r="AI66">
        <f t="shared" si="11"/>
        <v>13412277.306283003</v>
      </c>
      <c r="AJ66" s="490">
        <v>576.7180119999999</v>
      </c>
      <c r="AK66">
        <f t="shared" si="12"/>
        <v>576718.012</v>
      </c>
    </row>
    <row r="67" spans="1:37" ht="15" customHeight="1">
      <c r="A67" s="453" t="s">
        <v>836</v>
      </c>
      <c r="B67" s="467">
        <v>27269</v>
      </c>
      <c r="C67" s="468">
        <f t="shared" si="0"/>
        <v>90092713.488625</v>
      </c>
      <c r="D67" s="468">
        <f t="shared" si="1"/>
        <v>3781463.381241686</v>
      </c>
      <c r="E67" s="468">
        <v>0</v>
      </c>
      <c r="F67" s="468">
        <f t="shared" si="2"/>
        <v>93874176.86986668</v>
      </c>
      <c r="G67" s="469">
        <f t="shared" si="3"/>
        <v>3442.5236301245623</v>
      </c>
      <c r="H67" s="460">
        <f t="shared" si="4"/>
        <v>344.59636987543763</v>
      </c>
      <c r="I67" s="380">
        <f t="shared" si="5"/>
      </c>
      <c r="J67" s="380">
        <f t="shared" si="6"/>
      </c>
      <c r="K67" s="461">
        <f t="shared" si="7"/>
        <v>275.67709590035014</v>
      </c>
      <c r="L67" s="488">
        <f t="shared" si="8"/>
        <v>7517438.728106648</v>
      </c>
      <c r="M67" s="488"/>
      <c r="N67" s="478">
        <v>153</v>
      </c>
      <c r="O67" s="389" t="s">
        <v>836</v>
      </c>
      <c r="P67" s="471">
        <v>0</v>
      </c>
      <c r="Q67" s="472" t="s">
        <v>837</v>
      </c>
      <c r="X67" s="473" t="s">
        <v>102</v>
      </c>
      <c r="Y67" s="474">
        <v>20</v>
      </c>
      <c r="Z67" s="475">
        <v>90773514.85</v>
      </c>
      <c r="AA67" s="476">
        <f t="shared" si="9"/>
        <v>453867574.25</v>
      </c>
      <c r="AB67" s="475">
        <v>3781463.381241686</v>
      </c>
      <c r="AE67" s="489">
        <v>153</v>
      </c>
      <c r="AF67">
        <f t="shared" si="10"/>
        <v>0</v>
      </c>
      <c r="AH67" s="477">
        <v>91200.83157564189</v>
      </c>
      <c r="AI67">
        <f t="shared" si="11"/>
        <v>91200831.57564189</v>
      </c>
      <c r="AJ67" s="490">
        <v>3787.218264</v>
      </c>
      <c r="AK67">
        <f t="shared" si="12"/>
        <v>3787218.264</v>
      </c>
    </row>
    <row r="68" spans="1:37" ht="15" customHeight="1">
      <c r="A68" s="453" t="s">
        <v>838</v>
      </c>
      <c r="B68" s="467">
        <v>16607</v>
      </c>
      <c r="C68" s="468">
        <f t="shared" si="0"/>
        <v>54321706.72295239</v>
      </c>
      <c r="D68" s="468">
        <f t="shared" si="1"/>
        <v>2092144.6549608412</v>
      </c>
      <c r="E68" s="468">
        <v>0</v>
      </c>
      <c r="F68" s="468">
        <f t="shared" si="2"/>
        <v>56413851.37791323</v>
      </c>
      <c r="G68" s="469">
        <f t="shared" si="3"/>
        <v>3396.9923151630774</v>
      </c>
      <c r="H68" s="460">
        <f t="shared" si="4"/>
        <v>390.1276848369225</v>
      </c>
      <c r="I68" s="380">
        <f t="shared" si="5"/>
      </c>
      <c r="J68" s="380">
        <f t="shared" si="6"/>
      </c>
      <c r="K68" s="461">
        <f t="shared" si="7"/>
        <v>312.10214786953804</v>
      </c>
      <c r="L68" s="488">
        <f t="shared" si="8"/>
        <v>5183080.369669418</v>
      </c>
      <c r="M68" s="488"/>
      <c r="N68" s="478">
        <v>165</v>
      </c>
      <c r="O68" s="389" t="s">
        <v>838</v>
      </c>
      <c r="P68" s="471">
        <v>0</v>
      </c>
      <c r="Q68" s="472" t="s">
        <v>779</v>
      </c>
      <c r="X68" s="473" t="s">
        <v>107</v>
      </c>
      <c r="Y68" s="474">
        <v>21</v>
      </c>
      <c r="Z68" s="475">
        <v>57468808.12</v>
      </c>
      <c r="AA68" s="476">
        <f t="shared" si="9"/>
        <v>273660991.04761904</v>
      </c>
      <c r="AB68" s="475">
        <v>2092144.6549608412</v>
      </c>
      <c r="AE68" s="489">
        <v>165</v>
      </c>
      <c r="AF68">
        <f t="shared" si="10"/>
        <v>0</v>
      </c>
      <c r="AH68" s="477">
        <v>57711.14526215031</v>
      </c>
      <c r="AI68">
        <f t="shared" si="11"/>
        <v>57711145.26215031</v>
      </c>
      <c r="AJ68" s="490">
        <v>2095.32862</v>
      </c>
      <c r="AK68">
        <f t="shared" si="12"/>
        <v>2095328.6199999999</v>
      </c>
    </row>
    <row r="69" spans="1:37" ht="15" customHeight="1">
      <c r="A69" s="466" t="s">
        <v>839</v>
      </c>
      <c r="B69" s="467">
        <v>76067</v>
      </c>
      <c r="C69" s="468">
        <f t="shared" si="0"/>
        <v>215237779.7348293</v>
      </c>
      <c r="D69" s="468">
        <f t="shared" si="1"/>
        <v>21498450.15909632</v>
      </c>
      <c r="E69" s="468">
        <v>0</v>
      </c>
      <c r="F69" s="468">
        <f t="shared" si="2"/>
        <v>236736229.89392564</v>
      </c>
      <c r="G69" s="469">
        <f t="shared" si="3"/>
        <v>3112.2067374015755</v>
      </c>
      <c r="H69" s="460">
        <f t="shared" si="4"/>
        <v>674.9132625984244</v>
      </c>
      <c r="I69" s="380">
        <f t="shared" si="5"/>
      </c>
      <c r="J69" s="380">
        <f t="shared" si="6"/>
      </c>
      <c r="K69" s="461">
        <f t="shared" si="7"/>
        <v>539.9306100787395</v>
      </c>
      <c r="L69" s="488">
        <f t="shared" si="8"/>
        <v>41070901.716859475</v>
      </c>
      <c r="M69" s="488"/>
      <c r="N69" s="470">
        <v>167</v>
      </c>
      <c r="O69" s="389" t="s">
        <v>839</v>
      </c>
      <c r="P69" s="471">
        <v>0</v>
      </c>
      <c r="Q69" s="472" t="s">
        <v>826</v>
      </c>
      <c r="X69" s="473" t="s">
        <v>108</v>
      </c>
      <c r="Y69" s="474">
        <v>20.5</v>
      </c>
      <c r="Z69" s="475">
        <v>222285868.24</v>
      </c>
      <c r="AA69" s="476">
        <f t="shared" si="9"/>
        <v>1084321308.487805</v>
      </c>
      <c r="AB69" s="475">
        <v>21498450.15909632</v>
      </c>
      <c r="AE69" s="489">
        <v>167</v>
      </c>
      <c r="AF69">
        <f t="shared" si="10"/>
        <v>0</v>
      </c>
      <c r="AH69" s="477">
        <v>222736.69727979298</v>
      </c>
      <c r="AI69">
        <f t="shared" si="11"/>
        <v>222736697.27979296</v>
      </c>
      <c r="AJ69" s="490">
        <v>21531.167932</v>
      </c>
      <c r="AK69">
        <f t="shared" si="12"/>
        <v>21531167.932</v>
      </c>
    </row>
    <row r="70" spans="1:37" ht="15" customHeight="1">
      <c r="A70" s="453" t="s">
        <v>840</v>
      </c>
      <c r="B70" s="467">
        <v>5286</v>
      </c>
      <c r="C70" s="468">
        <f t="shared" si="0"/>
        <v>16018982.927647062</v>
      </c>
      <c r="D70" s="468">
        <f t="shared" si="1"/>
        <v>1027508.4132811078</v>
      </c>
      <c r="E70" s="468">
        <v>0</v>
      </c>
      <c r="F70" s="468">
        <f t="shared" si="2"/>
        <v>17046491.34092817</v>
      </c>
      <c r="G70" s="469">
        <f t="shared" si="3"/>
        <v>3224.8375597669638</v>
      </c>
      <c r="H70" s="460">
        <f t="shared" si="4"/>
        <v>562.2824402330361</v>
      </c>
      <c r="I70" s="380">
        <f t="shared" si="5"/>
      </c>
      <c r="J70" s="380">
        <f t="shared" si="6"/>
      </c>
      <c r="K70" s="461">
        <f t="shared" si="7"/>
        <v>449.82595218642894</v>
      </c>
      <c r="L70" s="488">
        <f t="shared" si="8"/>
        <v>2377779.983257463</v>
      </c>
      <c r="M70" s="488"/>
      <c r="N70" s="478">
        <v>169</v>
      </c>
      <c r="O70" s="479" t="s">
        <v>841</v>
      </c>
      <c r="P70" s="471">
        <v>0</v>
      </c>
      <c r="Q70" s="472" t="s">
        <v>779</v>
      </c>
      <c r="X70" s="473" t="s">
        <v>109</v>
      </c>
      <c r="Y70" s="474">
        <v>21.25</v>
      </c>
      <c r="Z70" s="475">
        <v>17148785.25</v>
      </c>
      <c r="AA70" s="476">
        <f t="shared" si="9"/>
        <v>80700165.88235295</v>
      </c>
      <c r="AB70" s="475">
        <v>1027508.4132811078</v>
      </c>
      <c r="AE70" s="489">
        <v>169</v>
      </c>
      <c r="AF70">
        <f t="shared" si="10"/>
        <v>0</v>
      </c>
      <c r="AH70" s="477">
        <v>17266.202271463877</v>
      </c>
      <c r="AI70">
        <f t="shared" si="11"/>
        <v>17266202.27146388</v>
      </c>
      <c r="AJ70" s="490">
        <v>1029.072144</v>
      </c>
      <c r="AK70">
        <f t="shared" si="12"/>
        <v>1029072.144</v>
      </c>
    </row>
    <row r="71" spans="1:37" ht="15" customHeight="1">
      <c r="A71" s="453" t="s">
        <v>842</v>
      </c>
      <c r="B71" s="467">
        <v>4917</v>
      </c>
      <c r="C71" s="468">
        <f t="shared" si="0"/>
        <v>13560578.583855422</v>
      </c>
      <c r="D71" s="468">
        <f t="shared" si="1"/>
        <v>1378368.4471199675</v>
      </c>
      <c r="E71" s="468">
        <v>0</v>
      </c>
      <c r="F71" s="468">
        <f t="shared" si="2"/>
        <v>14938947.03097539</v>
      </c>
      <c r="G71" s="469">
        <f t="shared" si="3"/>
        <v>3038.223923322227</v>
      </c>
      <c r="H71" s="460">
        <f t="shared" si="4"/>
        <v>748.8960766777727</v>
      </c>
      <c r="I71" s="380">
        <f t="shared" si="5"/>
      </c>
      <c r="J71" s="380">
        <f t="shared" si="6"/>
      </c>
      <c r="K71" s="461">
        <f t="shared" si="7"/>
        <v>599.1168613422182</v>
      </c>
      <c r="L71" s="488">
        <f t="shared" si="8"/>
        <v>2945857.6072196867</v>
      </c>
      <c r="M71" s="488"/>
      <c r="N71" s="478">
        <v>171</v>
      </c>
      <c r="O71" s="479" t="s">
        <v>843</v>
      </c>
      <c r="P71" s="471">
        <v>0</v>
      </c>
      <c r="Q71" s="472" t="s">
        <v>767</v>
      </c>
      <c r="X71" s="473" t="s">
        <v>110</v>
      </c>
      <c r="Y71" s="474">
        <v>20.75</v>
      </c>
      <c r="Z71" s="475">
        <v>14175415.9</v>
      </c>
      <c r="AA71" s="476">
        <f t="shared" si="9"/>
        <v>68315257.34939758</v>
      </c>
      <c r="AB71" s="475">
        <v>1378368.4471199675</v>
      </c>
      <c r="AE71" s="489">
        <v>171</v>
      </c>
      <c r="AF71">
        <f t="shared" si="10"/>
        <v>0</v>
      </c>
      <c r="AH71" s="477">
        <v>14307.905753529245</v>
      </c>
      <c r="AI71">
        <f t="shared" si="11"/>
        <v>14307905.753529245</v>
      </c>
      <c r="AJ71" s="490">
        <v>1380.46614</v>
      </c>
      <c r="AK71">
        <f t="shared" si="12"/>
        <v>1380466.14</v>
      </c>
    </row>
    <row r="72" spans="1:37" ht="15" customHeight="1">
      <c r="A72" s="453" t="s">
        <v>844</v>
      </c>
      <c r="B72" s="467">
        <v>4567</v>
      </c>
      <c r="C72" s="468">
        <f t="shared" si="0"/>
        <v>11415355.033190478</v>
      </c>
      <c r="D72" s="468">
        <f t="shared" si="1"/>
        <v>1498763.1584319384</v>
      </c>
      <c r="E72" s="468">
        <v>0</v>
      </c>
      <c r="F72" s="468">
        <f t="shared" si="2"/>
        <v>12914118.191622416</v>
      </c>
      <c r="G72" s="469">
        <f t="shared" si="3"/>
        <v>2827.702691399697</v>
      </c>
      <c r="H72" s="460">
        <f t="shared" si="4"/>
        <v>959.4173086003029</v>
      </c>
      <c r="I72" s="380">
        <f t="shared" si="5"/>
      </c>
      <c r="J72" s="380">
        <f t="shared" si="6"/>
      </c>
      <c r="K72" s="461">
        <f t="shared" si="7"/>
        <v>767.5338468802424</v>
      </c>
      <c r="L72" s="488">
        <f t="shared" si="8"/>
        <v>3505327.078702067</v>
      </c>
      <c r="M72" s="488"/>
      <c r="N72" s="478">
        <v>172</v>
      </c>
      <c r="O72" s="389" t="s">
        <v>844</v>
      </c>
      <c r="P72" s="471">
        <v>0</v>
      </c>
      <c r="Q72" s="472" t="s">
        <v>790</v>
      </c>
      <c r="X72" s="473" t="s">
        <v>111</v>
      </c>
      <c r="Y72" s="474">
        <v>21</v>
      </c>
      <c r="Z72" s="475">
        <v>12076698.02</v>
      </c>
      <c r="AA72" s="476">
        <f t="shared" si="9"/>
        <v>57508085.809523806</v>
      </c>
      <c r="AB72" s="475">
        <v>1498763.1584319384</v>
      </c>
      <c r="AE72" s="489">
        <v>172</v>
      </c>
      <c r="AF72">
        <f t="shared" si="10"/>
        <v>0</v>
      </c>
      <c r="AH72" s="477">
        <v>11954.024944393059</v>
      </c>
      <c r="AI72">
        <f t="shared" si="11"/>
        <v>11954024.94439306</v>
      </c>
      <c r="AJ72" s="490">
        <v>1501.0440760000001</v>
      </c>
      <c r="AK72">
        <f t="shared" si="12"/>
        <v>1501044.0760000001</v>
      </c>
    </row>
    <row r="73" spans="1:37" ht="15" customHeight="1">
      <c r="A73" s="453" t="s">
        <v>845</v>
      </c>
      <c r="B73" s="467">
        <v>4817</v>
      </c>
      <c r="C73" s="468">
        <f t="shared" si="0"/>
        <v>10617357.391012048</v>
      </c>
      <c r="D73" s="468">
        <f t="shared" si="1"/>
        <v>1644175.1208254662</v>
      </c>
      <c r="E73" s="468">
        <v>0</v>
      </c>
      <c r="F73" s="468">
        <f t="shared" si="2"/>
        <v>12261532.511837514</v>
      </c>
      <c r="G73" s="469">
        <f t="shared" si="3"/>
        <v>2545.4707311267416</v>
      </c>
      <c r="H73" s="460">
        <f t="shared" si="4"/>
        <v>1241.6492688732583</v>
      </c>
      <c r="I73" s="380">
        <f t="shared" si="5"/>
      </c>
      <c r="J73" s="380">
        <f t="shared" si="6"/>
      </c>
      <c r="K73" s="461">
        <f t="shared" si="7"/>
        <v>993.3194150986067</v>
      </c>
      <c r="L73" s="488">
        <f t="shared" si="8"/>
        <v>4784819.622529988</v>
      </c>
      <c r="M73" s="488"/>
      <c r="N73" s="478">
        <v>176</v>
      </c>
      <c r="O73" s="389" t="s">
        <v>845</v>
      </c>
      <c r="P73" s="471">
        <v>0</v>
      </c>
      <c r="Q73" s="472" t="s">
        <v>826</v>
      </c>
      <c r="X73" s="473" t="s">
        <v>112</v>
      </c>
      <c r="Y73" s="474">
        <v>20.75</v>
      </c>
      <c r="Z73" s="475">
        <v>11098748.91</v>
      </c>
      <c r="AA73" s="476">
        <f t="shared" si="9"/>
        <v>53487946.55421687</v>
      </c>
      <c r="AB73" s="475">
        <v>1644175.1208254662</v>
      </c>
      <c r="AE73" s="489">
        <v>176</v>
      </c>
      <c r="AF73">
        <f t="shared" si="10"/>
        <v>0</v>
      </c>
      <c r="AH73" s="477">
        <v>11102.865657794811</v>
      </c>
      <c r="AI73">
        <f t="shared" si="11"/>
        <v>11102865.65779481</v>
      </c>
      <c r="AJ73" s="490">
        <v>1646.677336</v>
      </c>
      <c r="AK73">
        <f t="shared" si="12"/>
        <v>1646677.336</v>
      </c>
    </row>
    <row r="74" spans="1:37" ht="15" customHeight="1">
      <c r="A74" s="453" t="s">
        <v>846</v>
      </c>
      <c r="B74" s="467">
        <v>1904</v>
      </c>
      <c r="C74" s="468">
        <f t="shared" si="0"/>
        <v>5228732.982904763</v>
      </c>
      <c r="D74" s="468">
        <f t="shared" si="1"/>
        <v>1029386.1196625115</v>
      </c>
      <c r="E74" s="468">
        <v>0</v>
      </c>
      <c r="F74" s="468">
        <f t="shared" si="2"/>
        <v>6258119.102567274</v>
      </c>
      <c r="G74" s="469">
        <f t="shared" si="3"/>
        <v>3286.82725975172</v>
      </c>
      <c r="H74" s="460">
        <f t="shared" si="4"/>
        <v>500.2927402482801</v>
      </c>
      <c r="I74" s="380">
        <f t="shared" si="5"/>
      </c>
      <c r="J74" s="380">
        <f t="shared" si="6"/>
      </c>
      <c r="K74" s="461">
        <f t="shared" si="7"/>
        <v>400.2341921986241</v>
      </c>
      <c r="L74" s="488">
        <f t="shared" si="8"/>
        <v>762045.9019461803</v>
      </c>
      <c r="M74" s="488"/>
      <c r="N74" s="478">
        <v>177</v>
      </c>
      <c r="O74" s="389" t="s">
        <v>846</v>
      </c>
      <c r="P74" s="471">
        <v>0</v>
      </c>
      <c r="Q74" s="472" t="s">
        <v>765</v>
      </c>
      <c r="X74" s="473" t="s">
        <v>113</v>
      </c>
      <c r="Y74" s="474">
        <v>21</v>
      </c>
      <c r="Z74" s="475">
        <v>5531657.06</v>
      </c>
      <c r="AA74" s="476">
        <f t="shared" si="9"/>
        <v>26341224.095238097</v>
      </c>
      <c r="AB74" s="475">
        <v>1029386.1196625115</v>
      </c>
      <c r="AE74" s="489">
        <v>177</v>
      </c>
      <c r="AF74">
        <f t="shared" si="10"/>
        <v>0</v>
      </c>
      <c r="AH74" s="477">
        <v>5547.091896155712</v>
      </c>
      <c r="AI74">
        <f t="shared" si="11"/>
        <v>5547091.896155712</v>
      </c>
      <c r="AJ74" s="490">
        <v>1030.952708</v>
      </c>
      <c r="AK74">
        <f t="shared" si="12"/>
        <v>1030952.708</v>
      </c>
    </row>
    <row r="75" spans="1:37" ht="15" customHeight="1">
      <c r="A75" s="453" t="s">
        <v>847</v>
      </c>
      <c r="B75" s="467">
        <v>6334</v>
      </c>
      <c r="C75" s="468">
        <f t="shared" si="0"/>
        <v>15124789.92293976</v>
      </c>
      <c r="D75" s="468">
        <f t="shared" si="1"/>
        <v>2429413.6086104806</v>
      </c>
      <c r="E75" s="468">
        <v>0</v>
      </c>
      <c r="F75" s="468">
        <f t="shared" si="2"/>
        <v>17554203.53155024</v>
      </c>
      <c r="G75" s="469">
        <f t="shared" si="3"/>
        <v>2771.424618179703</v>
      </c>
      <c r="H75" s="460">
        <f t="shared" si="4"/>
        <v>1015.6953818202969</v>
      </c>
      <c r="I75" s="380">
        <f t="shared" si="5"/>
      </c>
      <c r="J75" s="380">
        <f t="shared" si="6"/>
      </c>
      <c r="K75" s="461">
        <f t="shared" si="7"/>
        <v>812.5563054562376</v>
      </c>
      <c r="L75" s="488">
        <f t="shared" si="8"/>
        <v>5146731.63875981</v>
      </c>
      <c r="M75" s="488"/>
      <c r="N75" s="478">
        <v>178</v>
      </c>
      <c r="O75" s="389" t="s">
        <v>847</v>
      </c>
      <c r="P75" s="471">
        <v>0</v>
      </c>
      <c r="Q75" s="472" t="s">
        <v>767</v>
      </c>
      <c r="X75" s="473" t="s">
        <v>114</v>
      </c>
      <c r="Y75" s="474">
        <v>20.75</v>
      </c>
      <c r="Z75" s="475">
        <v>15810548.66</v>
      </c>
      <c r="AA75" s="476">
        <f t="shared" si="9"/>
        <v>76195415.22891566</v>
      </c>
      <c r="AB75" s="475">
        <v>2429413.6086104806</v>
      </c>
      <c r="AE75" s="489">
        <v>178</v>
      </c>
      <c r="AF75">
        <f t="shared" si="10"/>
        <v>0</v>
      </c>
      <c r="AH75" s="477">
        <v>15899.642063039939</v>
      </c>
      <c r="AI75">
        <f t="shared" si="11"/>
        <v>15899642.063039938</v>
      </c>
      <c r="AJ75" s="490">
        <v>2433.110852</v>
      </c>
      <c r="AK75">
        <f t="shared" si="12"/>
        <v>2433110.852</v>
      </c>
    </row>
    <row r="76" spans="1:37" ht="15" customHeight="1">
      <c r="A76" s="466" t="s">
        <v>848</v>
      </c>
      <c r="B76" s="467">
        <v>140188</v>
      </c>
      <c r="C76" s="468">
        <f t="shared" si="0"/>
        <v>438802431.6372751</v>
      </c>
      <c r="D76" s="468">
        <f t="shared" si="1"/>
        <v>26155345.56958618</v>
      </c>
      <c r="E76" s="468">
        <v>0</v>
      </c>
      <c r="F76" s="468">
        <f t="shared" si="2"/>
        <v>464957777.20686126</v>
      </c>
      <c r="G76" s="469">
        <f t="shared" si="3"/>
        <v>3316.673161803159</v>
      </c>
      <c r="H76" s="460">
        <f t="shared" si="4"/>
        <v>470.4468381968409</v>
      </c>
      <c r="I76" s="380">
        <f t="shared" si="5"/>
      </c>
      <c r="J76" s="380">
        <f t="shared" si="6"/>
      </c>
      <c r="K76" s="461">
        <f t="shared" si="7"/>
        <v>376.3574705574727</v>
      </c>
      <c r="L76" s="488">
        <f t="shared" si="8"/>
        <v>52760801.082510985</v>
      </c>
      <c r="M76" s="488"/>
      <c r="N76" s="470">
        <v>179</v>
      </c>
      <c r="O76" s="389" t="s">
        <v>848</v>
      </c>
      <c r="P76" s="471">
        <v>0</v>
      </c>
      <c r="Q76" s="472" t="s">
        <v>790</v>
      </c>
      <c r="X76" s="473" t="s">
        <v>115</v>
      </c>
      <c r="Y76" s="474">
        <v>20</v>
      </c>
      <c r="Z76" s="475">
        <v>442118319.03</v>
      </c>
      <c r="AA76" s="476">
        <f t="shared" si="9"/>
        <v>2210591595.15</v>
      </c>
      <c r="AB76" s="475">
        <v>26155345.56958618</v>
      </c>
      <c r="AE76" s="489">
        <v>179</v>
      </c>
      <c r="AF76">
        <f t="shared" si="10"/>
        <v>0</v>
      </c>
      <c r="AH76" s="477">
        <v>442957.6496250059</v>
      </c>
      <c r="AI76">
        <f t="shared" si="11"/>
        <v>442957649.6250059</v>
      </c>
      <c r="AJ76" s="490">
        <v>26195.150515999998</v>
      </c>
      <c r="AK76">
        <f t="shared" si="12"/>
        <v>26195150.516</v>
      </c>
    </row>
    <row r="77" spans="1:37" ht="15" customHeight="1">
      <c r="A77" s="453" t="s">
        <v>849</v>
      </c>
      <c r="B77" s="467">
        <v>1867</v>
      </c>
      <c r="C77" s="468">
        <f t="shared" si="0"/>
        <v>4459755.9357555555</v>
      </c>
      <c r="D77" s="468">
        <f t="shared" si="1"/>
        <v>275801.5228785307</v>
      </c>
      <c r="E77" s="468">
        <v>0</v>
      </c>
      <c r="F77" s="468">
        <f t="shared" si="2"/>
        <v>4735557.458634086</v>
      </c>
      <c r="G77" s="469">
        <f t="shared" si="3"/>
        <v>2536.452843403367</v>
      </c>
      <c r="H77" s="460">
        <f t="shared" si="4"/>
        <v>1250.667156596633</v>
      </c>
      <c r="I77" s="380">
        <f t="shared" si="5"/>
      </c>
      <c r="J77" s="380">
        <f t="shared" si="6"/>
      </c>
      <c r="K77" s="461">
        <f t="shared" si="7"/>
        <v>1000.5337252773065</v>
      </c>
      <c r="L77" s="488">
        <f t="shared" si="8"/>
        <v>1867996.4650927314</v>
      </c>
      <c r="M77" s="488"/>
      <c r="N77" s="478">
        <v>181</v>
      </c>
      <c r="O77" s="389" t="s">
        <v>849</v>
      </c>
      <c r="P77" s="471">
        <v>0</v>
      </c>
      <c r="Q77" s="472" t="s">
        <v>774</v>
      </c>
      <c r="X77" s="473" t="s">
        <v>116</v>
      </c>
      <c r="Y77" s="474">
        <v>22.5</v>
      </c>
      <c r="Z77" s="475">
        <v>5055138.97</v>
      </c>
      <c r="AA77" s="476">
        <f t="shared" si="9"/>
        <v>22467284.31111111</v>
      </c>
      <c r="AB77" s="475">
        <v>275801.5228785307</v>
      </c>
      <c r="AE77" s="489">
        <v>181</v>
      </c>
      <c r="AF77">
        <f t="shared" si="10"/>
        <v>0</v>
      </c>
      <c r="AH77" s="477">
        <v>4936.376835310782</v>
      </c>
      <c r="AI77">
        <f t="shared" si="11"/>
        <v>4936376.835310781</v>
      </c>
      <c r="AJ77" s="490">
        <v>276.22125600000004</v>
      </c>
      <c r="AK77">
        <f t="shared" si="12"/>
        <v>276221.25600000005</v>
      </c>
    </row>
    <row r="78" spans="1:37" ht="15" customHeight="1">
      <c r="A78" s="453" t="s">
        <v>117</v>
      </c>
      <c r="B78" s="467">
        <v>20877</v>
      </c>
      <c r="C78" s="468">
        <f t="shared" si="0"/>
        <v>65426633.069619045</v>
      </c>
      <c r="D78" s="468">
        <f t="shared" si="1"/>
        <v>8525683.307469087</v>
      </c>
      <c r="E78" s="468">
        <v>0</v>
      </c>
      <c r="F78" s="468">
        <f t="shared" si="2"/>
        <v>73952316.37708813</v>
      </c>
      <c r="G78" s="469">
        <f t="shared" si="3"/>
        <v>3542.2865534841276</v>
      </c>
      <c r="H78" s="460">
        <f t="shared" si="4"/>
        <v>244.8334465158723</v>
      </c>
      <c r="I78" s="380">
        <f t="shared" si="5"/>
      </c>
      <c r="J78" s="380">
        <f t="shared" si="6"/>
      </c>
      <c r="K78" s="461">
        <f t="shared" si="7"/>
        <v>195.86675721269785</v>
      </c>
      <c r="L78" s="488">
        <f t="shared" si="8"/>
        <v>4089110.290329493</v>
      </c>
      <c r="M78" s="488"/>
      <c r="N78" s="478">
        <v>182</v>
      </c>
      <c r="O78" s="389" t="s">
        <v>850</v>
      </c>
      <c r="P78" s="471">
        <v>0</v>
      </c>
      <c r="Q78" s="472" t="s">
        <v>790</v>
      </c>
      <c r="X78" s="473" t="s">
        <v>117</v>
      </c>
      <c r="Y78" s="474">
        <v>21</v>
      </c>
      <c r="Z78" s="475">
        <v>69217092.92</v>
      </c>
      <c r="AA78" s="476">
        <f t="shared" si="9"/>
        <v>329605204.38095236</v>
      </c>
      <c r="AB78" s="475">
        <v>8525683.307469087</v>
      </c>
      <c r="AE78" s="489">
        <v>182</v>
      </c>
      <c r="AF78">
        <f t="shared" si="10"/>
        <v>0</v>
      </c>
      <c r="AH78" s="477">
        <v>69686.47510016488</v>
      </c>
      <c r="AI78">
        <f t="shared" si="11"/>
        <v>69686475.10016489</v>
      </c>
      <c r="AJ78" s="490">
        <v>8538.65826</v>
      </c>
      <c r="AK78">
        <f t="shared" si="12"/>
        <v>8538658.26</v>
      </c>
    </row>
    <row r="79" spans="1:37" ht="15" customHeight="1">
      <c r="A79" s="453" t="s">
        <v>851</v>
      </c>
      <c r="B79" s="467">
        <v>42572</v>
      </c>
      <c r="C79" s="468">
        <f t="shared" si="0"/>
        <v>170784904.3418481</v>
      </c>
      <c r="D79" s="468">
        <f t="shared" si="1"/>
        <v>5183599.6529037105</v>
      </c>
      <c r="E79" s="468">
        <v>0</v>
      </c>
      <c r="F79" s="468">
        <f t="shared" si="2"/>
        <v>175968503.9947518</v>
      </c>
      <c r="G79" s="469">
        <f t="shared" si="3"/>
        <v>4133.432866549652</v>
      </c>
      <c r="H79" s="460">
        <f t="shared" si="4"/>
        <v>-346.3128665496524</v>
      </c>
      <c r="I79" s="380">
        <f t="shared" si="5"/>
        <v>5.84734260506311</v>
      </c>
      <c r="J79" s="380">
        <f t="shared" si="6"/>
        <v>35.84734260506311</v>
      </c>
      <c r="K79" s="461">
        <f t="shared" si="7"/>
        <v>-124.1439597574689</v>
      </c>
      <c r="L79" s="488">
        <f t="shared" si="8"/>
        <v>-5285056.654794966</v>
      </c>
      <c r="M79" s="488"/>
      <c r="N79" s="478">
        <v>186</v>
      </c>
      <c r="O79" s="479" t="s">
        <v>852</v>
      </c>
      <c r="P79" s="471">
        <v>0</v>
      </c>
      <c r="Q79" s="472" t="s">
        <v>762</v>
      </c>
      <c r="U79" s="53"/>
      <c r="X79" s="473" t="s">
        <v>118</v>
      </c>
      <c r="Y79" s="474">
        <v>19.75</v>
      </c>
      <c r="Z79" s="475">
        <v>169924526.99</v>
      </c>
      <c r="AA79" s="476">
        <f t="shared" si="9"/>
        <v>860377351.8481013</v>
      </c>
      <c r="AB79" s="475">
        <v>5183599.6529037105</v>
      </c>
      <c r="AE79" s="489">
        <v>186</v>
      </c>
      <c r="AF79">
        <f t="shared" si="10"/>
        <v>0</v>
      </c>
      <c r="AH79" s="477">
        <v>169666.65495598078</v>
      </c>
      <c r="AI79">
        <f t="shared" si="11"/>
        <v>169666654.95598078</v>
      </c>
      <c r="AJ79" s="490">
        <v>5191.4884</v>
      </c>
      <c r="AK79">
        <f t="shared" si="12"/>
        <v>5191488.4</v>
      </c>
    </row>
    <row r="80" spans="1:37" ht="15" customHeight="1">
      <c r="A80" s="466" t="s">
        <v>853</v>
      </c>
      <c r="B80" s="467">
        <v>33099</v>
      </c>
      <c r="C80" s="468">
        <f t="shared" si="0"/>
        <v>129715362.75802532</v>
      </c>
      <c r="D80" s="468">
        <f t="shared" si="1"/>
        <v>5101534.51709161</v>
      </c>
      <c r="E80" s="468">
        <v>0</v>
      </c>
      <c r="F80" s="468">
        <f t="shared" si="2"/>
        <v>134816897.27511692</v>
      </c>
      <c r="G80" s="469">
        <f t="shared" si="3"/>
        <v>4073.141100187828</v>
      </c>
      <c r="H80" s="460">
        <f t="shared" si="4"/>
        <v>-286.0211001878283</v>
      </c>
      <c r="I80" s="380">
        <f t="shared" si="5"/>
        <v>5.656065584978991</v>
      </c>
      <c r="J80" s="380">
        <f t="shared" si="6"/>
        <v>35.65606558497899</v>
      </c>
      <c r="K80" s="461">
        <f t="shared" si="7"/>
        <v>-101.98387106985054</v>
      </c>
      <c r="L80" s="488">
        <f t="shared" si="8"/>
        <v>-3375564.148540983</v>
      </c>
      <c r="M80" s="488"/>
      <c r="N80" s="470">
        <v>202</v>
      </c>
      <c r="O80" s="479" t="s">
        <v>854</v>
      </c>
      <c r="P80" s="471">
        <v>0</v>
      </c>
      <c r="Q80" s="472" t="s">
        <v>764</v>
      </c>
      <c r="X80" s="473" t="s">
        <v>119</v>
      </c>
      <c r="Y80" s="474">
        <v>19.75</v>
      </c>
      <c r="Z80" s="475">
        <v>129061884.86</v>
      </c>
      <c r="AA80" s="476">
        <f t="shared" si="9"/>
        <v>653477898.0253165</v>
      </c>
      <c r="AB80" s="475">
        <v>5101534.51709161</v>
      </c>
      <c r="AE80" s="489">
        <v>202</v>
      </c>
      <c r="AF80">
        <f t="shared" si="10"/>
        <v>0</v>
      </c>
      <c r="AH80" s="477">
        <v>128675.86997277554</v>
      </c>
      <c r="AI80">
        <f t="shared" si="11"/>
        <v>128675869.97277555</v>
      </c>
      <c r="AJ80" s="490">
        <v>5109.298372</v>
      </c>
      <c r="AK80">
        <f t="shared" si="12"/>
        <v>5109298.372</v>
      </c>
    </row>
    <row r="81" spans="1:37" ht="15" customHeight="1">
      <c r="A81" s="453" t="s">
        <v>855</v>
      </c>
      <c r="B81" s="467">
        <v>3048</v>
      </c>
      <c r="C81" s="468">
        <f t="shared" si="0"/>
        <v>6567543.775839081</v>
      </c>
      <c r="D81" s="468">
        <f t="shared" si="1"/>
        <v>992000.559497249</v>
      </c>
      <c r="E81" s="468">
        <v>0</v>
      </c>
      <c r="F81" s="468">
        <f t="shared" si="2"/>
        <v>7559544.33533633</v>
      </c>
      <c r="G81" s="469">
        <f t="shared" si="3"/>
        <v>2480.1654643491897</v>
      </c>
      <c r="H81" s="460">
        <f t="shared" si="4"/>
        <v>1306.9545356508102</v>
      </c>
      <c r="I81" s="380">
        <f t="shared" si="5"/>
      </c>
      <c r="J81" s="380">
        <f t="shared" si="6"/>
      </c>
      <c r="K81" s="461">
        <f t="shared" si="7"/>
        <v>1045.563628520648</v>
      </c>
      <c r="L81" s="488">
        <f t="shared" si="8"/>
        <v>3186877.9397309353</v>
      </c>
      <c r="M81" s="488"/>
      <c r="N81" s="478">
        <v>204</v>
      </c>
      <c r="O81" s="389" t="s">
        <v>855</v>
      </c>
      <c r="P81" s="471">
        <v>0</v>
      </c>
      <c r="Q81" s="472" t="s">
        <v>819</v>
      </c>
      <c r="X81" s="473" t="s">
        <v>120</v>
      </c>
      <c r="Y81" s="474">
        <v>21.75</v>
      </c>
      <c r="Z81" s="475">
        <v>7196175.17</v>
      </c>
      <c r="AA81" s="476">
        <f t="shared" si="9"/>
        <v>33085862.850574713</v>
      </c>
      <c r="AB81" s="475">
        <v>992000.559497249</v>
      </c>
      <c r="AE81" s="489">
        <v>204</v>
      </c>
      <c r="AF81">
        <f t="shared" si="10"/>
        <v>0</v>
      </c>
      <c r="AH81" s="477">
        <v>7229.0062905865525</v>
      </c>
      <c r="AI81">
        <f t="shared" si="11"/>
        <v>7229006.290586553</v>
      </c>
      <c r="AJ81" s="490">
        <v>993.510252</v>
      </c>
      <c r="AK81">
        <f t="shared" si="12"/>
        <v>993510.2520000001</v>
      </c>
    </row>
    <row r="82" spans="1:37" ht="15" customHeight="1">
      <c r="A82" s="453" t="s">
        <v>856</v>
      </c>
      <c r="B82" s="467">
        <v>37239</v>
      </c>
      <c r="C82" s="468">
        <f t="shared" si="0"/>
        <v>115015544.11545241</v>
      </c>
      <c r="D82" s="468">
        <f t="shared" si="1"/>
        <v>5459732.116135176</v>
      </c>
      <c r="E82" s="468">
        <v>0</v>
      </c>
      <c r="F82" s="468">
        <f t="shared" si="2"/>
        <v>120475276.23158759</v>
      </c>
      <c r="G82" s="469">
        <f t="shared" si="3"/>
        <v>3235.19096193742</v>
      </c>
      <c r="H82" s="460">
        <f t="shared" si="4"/>
        <v>551.9290380625798</v>
      </c>
      <c r="I82" s="380">
        <f t="shared" si="5"/>
      </c>
      <c r="J82" s="380">
        <f t="shared" si="6"/>
      </c>
      <c r="K82" s="461">
        <f t="shared" si="7"/>
        <v>441.5432304500639</v>
      </c>
      <c r="L82" s="488">
        <f t="shared" si="8"/>
        <v>16442628.358729929</v>
      </c>
      <c r="M82" s="488"/>
      <c r="N82" s="478">
        <v>205</v>
      </c>
      <c r="O82" s="479" t="s">
        <v>857</v>
      </c>
      <c r="P82" s="471">
        <v>0</v>
      </c>
      <c r="Q82" s="472" t="s">
        <v>808</v>
      </c>
      <c r="X82" s="473" t="s">
        <v>121</v>
      </c>
      <c r="Y82" s="474">
        <v>21</v>
      </c>
      <c r="Z82" s="475">
        <v>121678913.17</v>
      </c>
      <c r="AA82" s="476">
        <f t="shared" si="9"/>
        <v>579423396.0476191</v>
      </c>
      <c r="AB82" s="475">
        <v>5459732.116135176</v>
      </c>
      <c r="AE82" s="489">
        <v>205</v>
      </c>
      <c r="AF82">
        <f t="shared" si="10"/>
        <v>0</v>
      </c>
      <c r="AH82" s="477">
        <v>121725.8408951545</v>
      </c>
      <c r="AI82">
        <f t="shared" si="11"/>
        <v>121725840.8951545</v>
      </c>
      <c r="AJ82" s="490">
        <v>5468.0410999999995</v>
      </c>
      <c r="AK82">
        <f t="shared" si="12"/>
        <v>5468041.1</v>
      </c>
    </row>
    <row r="83" spans="1:37" ht="15" customHeight="1">
      <c r="A83" s="453" t="s">
        <v>858</v>
      </c>
      <c r="B83" s="467">
        <v>12516</v>
      </c>
      <c r="C83" s="468">
        <f aca="true" t="shared" si="13" ref="C83:C146">19.85*AA83/100</f>
        <v>32340150.957725</v>
      </c>
      <c r="D83" s="468">
        <f aca="true" t="shared" si="14" ref="D83:D146">AB83</f>
        <v>2097294.2220068322</v>
      </c>
      <c r="E83" s="468">
        <v>0</v>
      </c>
      <c r="F83" s="468">
        <f aca="true" t="shared" si="15" ref="F83:F146">C83+D83+E83</f>
        <v>34437445.17973183</v>
      </c>
      <c r="G83" s="469">
        <f aca="true" t="shared" si="16" ref="G83:G146">F83/B83</f>
        <v>2751.473728006698</v>
      </c>
      <c r="H83" s="460">
        <f aca="true" t="shared" si="17" ref="H83:H146">$G$15-G83</f>
        <v>1035.646271993302</v>
      </c>
      <c r="I83" s="380">
        <f aca="true" t="shared" si="18" ref="I83:I146">IF(H83&lt;0,LN(-H83),"")</f>
      </c>
      <c r="J83" s="380">
        <f aca="true" t="shared" si="19" ref="J83:J146">IF(H83&lt;0,30+I83,"")</f>
      </c>
      <c r="K83" s="461">
        <f aca="true" t="shared" si="20" ref="K83:K146">IF(H83&gt;0,H83*0.8,J83*H83/100)</f>
        <v>828.5170175946416</v>
      </c>
      <c r="L83" s="488">
        <f aca="true" t="shared" si="21" ref="L83:L146">K83*B83</f>
        <v>10369718.992214534</v>
      </c>
      <c r="M83" s="488"/>
      <c r="N83" s="478">
        <v>208</v>
      </c>
      <c r="O83" s="389" t="s">
        <v>858</v>
      </c>
      <c r="P83" s="471">
        <v>0</v>
      </c>
      <c r="Q83" s="472" t="s">
        <v>757</v>
      </c>
      <c r="X83" s="473" t="s">
        <v>122</v>
      </c>
      <c r="Y83" s="474">
        <v>20</v>
      </c>
      <c r="Z83" s="475">
        <v>32584534.97</v>
      </c>
      <c r="AA83" s="476">
        <f aca="true" t="shared" si="22" ref="AA83:AA146">100*Z83/Y83</f>
        <v>162922674.85</v>
      </c>
      <c r="AB83" s="475">
        <v>2097294.2220068322</v>
      </c>
      <c r="AE83" s="489">
        <v>208</v>
      </c>
      <c r="AF83">
        <f aca="true" t="shared" si="23" ref="AF83:AF146">N83-AE83</f>
        <v>0</v>
      </c>
      <c r="AH83" s="477">
        <v>32152.736988018496</v>
      </c>
      <c r="AI83">
        <f aca="true" t="shared" si="24" ref="AI83:AI146">AH83*1000</f>
        <v>32152736.988018498</v>
      </c>
      <c r="AJ83" s="490">
        <v>2100.486024</v>
      </c>
      <c r="AK83">
        <f aca="true" t="shared" si="25" ref="AK83:AK146">AJ83*1000</f>
        <v>2100486.0239999997</v>
      </c>
    </row>
    <row r="84" spans="1:37" ht="15" customHeight="1">
      <c r="A84" s="453" t="s">
        <v>859</v>
      </c>
      <c r="B84" s="467">
        <v>31437</v>
      </c>
      <c r="C84" s="468">
        <f t="shared" si="13"/>
        <v>110761132.65378572</v>
      </c>
      <c r="D84" s="468">
        <f t="shared" si="14"/>
        <v>4093069.346535748</v>
      </c>
      <c r="E84" s="468">
        <v>0</v>
      </c>
      <c r="F84" s="468">
        <f t="shared" si="15"/>
        <v>114854202.00032146</v>
      </c>
      <c r="G84" s="469">
        <f t="shared" si="16"/>
        <v>3653.4720870414308</v>
      </c>
      <c r="H84" s="460">
        <f t="shared" si="17"/>
        <v>133.64791295856912</v>
      </c>
      <c r="I84" s="380">
        <f t="shared" si="18"/>
      </c>
      <c r="J84" s="380">
        <f t="shared" si="19"/>
      </c>
      <c r="K84" s="461">
        <f t="shared" si="20"/>
        <v>106.9183303668553</v>
      </c>
      <c r="L84" s="488">
        <f t="shared" si="21"/>
        <v>3361191.5517428303</v>
      </c>
      <c r="M84" s="488"/>
      <c r="N84" s="478">
        <v>211</v>
      </c>
      <c r="O84" s="389" t="s">
        <v>859</v>
      </c>
      <c r="P84" s="471">
        <v>0</v>
      </c>
      <c r="Q84" s="472" t="s">
        <v>765</v>
      </c>
      <c r="X84" s="473" t="s">
        <v>123</v>
      </c>
      <c r="Y84" s="474">
        <v>21</v>
      </c>
      <c r="Z84" s="475">
        <v>117178024.47</v>
      </c>
      <c r="AA84" s="476">
        <f t="shared" si="22"/>
        <v>557990592.7142857</v>
      </c>
      <c r="AB84" s="475">
        <v>4093069.346535748</v>
      </c>
      <c r="AE84" s="489">
        <v>211</v>
      </c>
      <c r="AF84">
        <f t="shared" si="23"/>
        <v>0</v>
      </c>
      <c r="AH84" s="477">
        <v>117463.06954952117</v>
      </c>
      <c r="AI84">
        <f t="shared" si="24"/>
        <v>117463069.54952116</v>
      </c>
      <c r="AJ84" s="490">
        <v>4099.298452</v>
      </c>
      <c r="AK84">
        <f t="shared" si="25"/>
        <v>4099298.452</v>
      </c>
    </row>
    <row r="85" spans="1:37" ht="15" customHeight="1">
      <c r="A85" s="453" t="s">
        <v>860</v>
      </c>
      <c r="B85" s="467">
        <v>5549</v>
      </c>
      <c r="C85" s="468">
        <f t="shared" si="13"/>
        <v>13365758.821686747</v>
      </c>
      <c r="D85" s="468">
        <f t="shared" si="14"/>
        <v>2588254.841446076</v>
      </c>
      <c r="E85" s="468">
        <v>0</v>
      </c>
      <c r="F85" s="468">
        <f t="shared" si="15"/>
        <v>15954013.663132822</v>
      </c>
      <c r="G85" s="469">
        <f t="shared" si="16"/>
        <v>2875.115095176216</v>
      </c>
      <c r="H85" s="460">
        <f t="shared" si="17"/>
        <v>912.0049048237838</v>
      </c>
      <c r="I85" s="380">
        <f t="shared" si="18"/>
      </c>
      <c r="J85" s="380">
        <f t="shared" si="19"/>
      </c>
      <c r="K85" s="461">
        <f t="shared" si="20"/>
        <v>729.6039238590271</v>
      </c>
      <c r="L85" s="488">
        <f t="shared" si="21"/>
        <v>4048572.173493741</v>
      </c>
      <c r="M85" s="488"/>
      <c r="N85" s="478">
        <v>213</v>
      </c>
      <c r="O85" s="389" t="s">
        <v>860</v>
      </c>
      <c r="P85" s="471">
        <v>0</v>
      </c>
      <c r="Q85" s="472" t="s">
        <v>767</v>
      </c>
      <c r="X85" s="473" t="s">
        <v>124</v>
      </c>
      <c r="Y85" s="474">
        <v>20.75</v>
      </c>
      <c r="Z85" s="475">
        <v>13971763</v>
      </c>
      <c r="AA85" s="476">
        <f t="shared" si="22"/>
        <v>67333797.59036145</v>
      </c>
      <c r="AB85" s="475">
        <v>2588254.841446076</v>
      </c>
      <c r="AE85" s="489">
        <v>213</v>
      </c>
      <c r="AF85">
        <f t="shared" si="23"/>
        <v>0</v>
      </c>
      <c r="AH85" s="477">
        <v>13965.738237651036</v>
      </c>
      <c r="AI85">
        <f t="shared" si="24"/>
        <v>13965738.237651035</v>
      </c>
      <c r="AJ85" s="490">
        <v>2592.1938200000004</v>
      </c>
      <c r="AK85">
        <f t="shared" si="25"/>
        <v>2592193.8200000003</v>
      </c>
    </row>
    <row r="86" spans="1:37" ht="15" customHeight="1">
      <c r="A86" s="453" t="s">
        <v>861</v>
      </c>
      <c r="B86" s="467">
        <v>11585</v>
      </c>
      <c r="C86" s="468">
        <f t="shared" si="13"/>
        <v>31713531.722418603</v>
      </c>
      <c r="D86" s="468">
        <f t="shared" si="14"/>
        <v>2572772.539444135</v>
      </c>
      <c r="E86" s="468">
        <v>0</v>
      </c>
      <c r="F86" s="468">
        <f t="shared" si="15"/>
        <v>34286304.26186274</v>
      </c>
      <c r="G86" s="469">
        <f t="shared" si="16"/>
        <v>2959.54287974646</v>
      </c>
      <c r="H86" s="460">
        <f t="shared" si="17"/>
        <v>827.5771202535398</v>
      </c>
      <c r="I86" s="380">
        <f t="shared" si="18"/>
      </c>
      <c r="J86" s="380">
        <f t="shared" si="19"/>
      </c>
      <c r="K86" s="461">
        <f t="shared" si="20"/>
        <v>662.0616962028319</v>
      </c>
      <c r="L86" s="488">
        <f t="shared" si="21"/>
        <v>7669984.750509807</v>
      </c>
      <c r="M86" s="488"/>
      <c r="N86" s="478">
        <v>214</v>
      </c>
      <c r="O86" s="389" t="s">
        <v>861</v>
      </c>
      <c r="P86" s="471">
        <v>0</v>
      </c>
      <c r="Q86" s="472" t="s">
        <v>774</v>
      </c>
      <c r="X86" s="473" t="s">
        <v>125</v>
      </c>
      <c r="Y86" s="474">
        <v>21.5</v>
      </c>
      <c r="Z86" s="475">
        <v>34349669.12</v>
      </c>
      <c r="AA86" s="476">
        <f t="shared" si="22"/>
        <v>159765902.8837209</v>
      </c>
      <c r="AB86" s="475">
        <v>2572772.539444135</v>
      </c>
      <c r="AE86" s="489">
        <v>214</v>
      </c>
      <c r="AF86">
        <f t="shared" si="23"/>
        <v>0</v>
      </c>
      <c r="AH86" s="477">
        <v>33964.85837222722</v>
      </c>
      <c r="AI86">
        <f t="shared" si="24"/>
        <v>33964858.37222722</v>
      </c>
      <c r="AJ86" s="490">
        <v>2576.6879559999998</v>
      </c>
      <c r="AK86">
        <f t="shared" si="25"/>
        <v>2576687.956</v>
      </c>
    </row>
    <row r="87" spans="1:37" s="1" customFormat="1" ht="15" customHeight="1">
      <c r="A87" s="453" t="s">
        <v>862</v>
      </c>
      <c r="B87" s="467">
        <v>1408</v>
      </c>
      <c r="C87" s="468">
        <f t="shared" si="13"/>
        <v>3066339.261047619</v>
      </c>
      <c r="D87" s="468">
        <f t="shared" si="14"/>
        <v>586979.1240855823</v>
      </c>
      <c r="E87" s="468">
        <v>0</v>
      </c>
      <c r="F87" s="468">
        <f t="shared" si="15"/>
        <v>3653318.3851332013</v>
      </c>
      <c r="G87" s="469">
        <f t="shared" si="16"/>
        <v>2594.6863530775577</v>
      </c>
      <c r="H87" s="460">
        <f t="shared" si="17"/>
        <v>1192.4336469224422</v>
      </c>
      <c r="I87" s="380">
        <f t="shared" si="18"/>
      </c>
      <c r="J87" s="380">
        <f t="shared" si="19"/>
      </c>
      <c r="K87" s="461">
        <f t="shared" si="20"/>
        <v>953.9469175379538</v>
      </c>
      <c r="L87" s="488">
        <f t="shared" si="21"/>
        <v>1343157.259893439</v>
      </c>
      <c r="M87" s="488"/>
      <c r="N87" s="478">
        <v>216</v>
      </c>
      <c r="O87" s="389" t="s">
        <v>862</v>
      </c>
      <c r="P87" s="471">
        <v>0</v>
      </c>
      <c r="Q87" s="472" t="s">
        <v>790</v>
      </c>
      <c r="R87"/>
      <c r="S87"/>
      <c r="T87"/>
      <c r="U87"/>
      <c r="V87"/>
      <c r="W87"/>
      <c r="X87" s="473" t="s">
        <v>126</v>
      </c>
      <c r="Y87" s="474">
        <v>21</v>
      </c>
      <c r="Z87" s="475">
        <v>3243986.12</v>
      </c>
      <c r="AA87" s="476">
        <f t="shared" si="22"/>
        <v>15447552.952380951</v>
      </c>
      <c r="AB87" s="475">
        <v>586979.1240855823</v>
      </c>
      <c r="AC87"/>
      <c r="AE87" s="489">
        <v>216</v>
      </c>
      <c r="AF87">
        <f t="shared" si="23"/>
        <v>0</v>
      </c>
      <c r="AH87" s="477">
        <v>3134.2345376906983</v>
      </c>
      <c r="AI87">
        <f t="shared" si="24"/>
        <v>3134234.537690698</v>
      </c>
      <c r="AJ87" s="490">
        <v>587.872428</v>
      </c>
      <c r="AK87">
        <f t="shared" si="25"/>
        <v>587872.428</v>
      </c>
    </row>
    <row r="88" spans="1:37" ht="15" customHeight="1">
      <c r="A88" s="453" t="s">
        <v>863</v>
      </c>
      <c r="B88" s="467">
        <v>5520</v>
      </c>
      <c r="C88" s="468">
        <f t="shared" si="13"/>
        <v>14391217.039767442</v>
      </c>
      <c r="D88" s="468">
        <f t="shared" si="14"/>
        <v>1061865.9536884555</v>
      </c>
      <c r="E88" s="468">
        <v>0</v>
      </c>
      <c r="F88" s="468">
        <f t="shared" si="15"/>
        <v>15453082.993455898</v>
      </c>
      <c r="G88" s="469">
        <f t="shared" si="16"/>
        <v>2799.4715567854887</v>
      </c>
      <c r="H88" s="460">
        <f t="shared" si="17"/>
        <v>987.6484432145112</v>
      </c>
      <c r="I88" s="380">
        <f t="shared" si="18"/>
      </c>
      <c r="J88" s="380">
        <f t="shared" si="19"/>
      </c>
      <c r="K88" s="461">
        <f t="shared" si="20"/>
        <v>790.118754571609</v>
      </c>
      <c r="L88" s="488">
        <f t="shared" si="21"/>
        <v>4361455.525235281</v>
      </c>
      <c r="M88" s="488"/>
      <c r="N88" s="478">
        <v>217</v>
      </c>
      <c r="O88" s="389" t="s">
        <v>863</v>
      </c>
      <c r="P88" s="471">
        <v>0</v>
      </c>
      <c r="Q88" s="472" t="s">
        <v>785</v>
      </c>
      <c r="X88" s="473" t="s">
        <v>127</v>
      </c>
      <c r="Y88" s="474">
        <v>21.5</v>
      </c>
      <c r="Z88" s="475">
        <v>15587464.3</v>
      </c>
      <c r="AA88" s="476">
        <f t="shared" si="22"/>
        <v>72499833.95348836</v>
      </c>
      <c r="AB88" s="475">
        <v>1061865.9536884555</v>
      </c>
      <c r="AE88" s="489">
        <v>217</v>
      </c>
      <c r="AF88">
        <f t="shared" si="23"/>
        <v>0</v>
      </c>
      <c r="AH88" s="477">
        <v>15634.763085439332</v>
      </c>
      <c r="AI88">
        <f t="shared" si="24"/>
        <v>15634763.085439332</v>
      </c>
      <c r="AJ88" s="490">
        <v>1063.4819720000003</v>
      </c>
      <c r="AK88">
        <f t="shared" si="25"/>
        <v>1063481.9720000003</v>
      </c>
    </row>
    <row r="89" spans="1:37" ht="15" customHeight="1">
      <c r="A89" s="453" t="s">
        <v>864</v>
      </c>
      <c r="B89" s="467">
        <v>1329</v>
      </c>
      <c r="C89" s="468">
        <f t="shared" si="13"/>
        <v>3131804.9675</v>
      </c>
      <c r="D89" s="468">
        <f t="shared" si="14"/>
        <v>281358.0545786137</v>
      </c>
      <c r="E89" s="468">
        <v>0</v>
      </c>
      <c r="F89" s="468">
        <f t="shared" si="15"/>
        <v>3413163.0220786138</v>
      </c>
      <c r="G89" s="469">
        <f t="shared" si="16"/>
        <v>2568.2189782382347</v>
      </c>
      <c r="H89" s="460">
        <f t="shared" si="17"/>
        <v>1218.9010217617652</v>
      </c>
      <c r="I89" s="380">
        <f t="shared" si="18"/>
      </c>
      <c r="J89" s="380">
        <f t="shared" si="19"/>
      </c>
      <c r="K89" s="461">
        <f t="shared" si="20"/>
        <v>975.1208174094122</v>
      </c>
      <c r="L89" s="488">
        <f t="shared" si="21"/>
        <v>1295935.5663371088</v>
      </c>
      <c r="M89" s="488"/>
      <c r="N89" s="478">
        <v>218</v>
      </c>
      <c r="O89" s="479" t="s">
        <v>865</v>
      </c>
      <c r="P89" s="471">
        <v>0</v>
      </c>
      <c r="Q89" s="472" t="s">
        <v>755</v>
      </c>
      <c r="X89" s="473" t="s">
        <v>128</v>
      </c>
      <c r="Y89" s="474">
        <v>22</v>
      </c>
      <c r="Z89" s="475">
        <v>3471018.1</v>
      </c>
      <c r="AA89" s="476">
        <f t="shared" si="22"/>
        <v>15777355</v>
      </c>
      <c r="AB89" s="475">
        <v>281358.0545786137</v>
      </c>
      <c r="AE89" s="489">
        <v>218</v>
      </c>
      <c r="AF89">
        <f t="shared" si="23"/>
        <v>0</v>
      </c>
      <c r="AH89" s="477">
        <v>3468.583190246</v>
      </c>
      <c r="AI89">
        <f t="shared" si="24"/>
        <v>3468583.190246</v>
      </c>
      <c r="AJ89" s="490">
        <v>281.786244</v>
      </c>
      <c r="AK89">
        <f t="shared" si="25"/>
        <v>281786.244</v>
      </c>
    </row>
    <row r="90" spans="1:37" ht="15" customHeight="1">
      <c r="A90" s="453" t="s">
        <v>866</v>
      </c>
      <c r="B90" s="467">
        <v>8900</v>
      </c>
      <c r="C90" s="468">
        <f t="shared" si="13"/>
        <v>26477586.963204823</v>
      </c>
      <c r="D90" s="468">
        <f t="shared" si="14"/>
        <v>1225195.8114357896</v>
      </c>
      <c r="E90" s="468">
        <v>0</v>
      </c>
      <c r="F90" s="468">
        <f t="shared" si="15"/>
        <v>27702782.774640612</v>
      </c>
      <c r="G90" s="469">
        <f t="shared" si="16"/>
        <v>3112.672221869732</v>
      </c>
      <c r="H90" s="460">
        <f t="shared" si="17"/>
        <v>674.447778130268</v>
      </c>
      <c r="I90" s="380">
        <f t="shared" si="18"/>
      </c>
      <c r="J90" s="380">
        <f t="shared" si="19"/>
      </c>
      <c r="K90" s="461">
        <f t="shared" si="20"/>
        <v>539.5582225042144</v>
      </c>
      <c r="L90" s="488">
        <f t="shared" si="21"/>
        <v>4802068.180287508</v>
      </c>
      <c r="M90" s="488"/>
      <c r="N90" s="478">
        <v>224</v>
      </c>
      <c r="O90" s="479" t="s">
        <v>867</v>
      </c>
      <c r="P90" s="471">
        <v>0</v>
      </c>
      <c r="Q90" s="472" t="s">
        <v>762</v>
      </c>
      <c r="X90" s="473" t="s">
        <v>129</v>
      </c>
      <c r="Y90" s="474">
        <v>20.75</v>
      </c>
      <c r="Z90" s="475">
        <v>27678082.09</v>
      </c>
      <c r="AA90" s="476">
        <f t="shared" si="22"/>
        <v>133388347.42168675</v>
      </c>
      <c r="AB90" s="475">
        <v>1225195.8114357896</v>
      </c>
      <c r="AE90" s="489">
        <v>224</v>
      </c>
      <c r="AF90">
        <f t="shared" si="23"/>
        <v>0</v>
      </c>
      <c r="AH90" s="477">
        <v>27726.71569770903</v>
      </c>
      <c r="AI90">
        <f t="shared" si="24"/>
        <v>27726715.69770903</v>
      </c>
      <c r="AJ90" s="490">
        <v>1227.0603959999999</v>
      </c>
      <c r="AK90">
        <f t="shared" si="25"/>
        <v>1227060.396</v>
      </c>
    </row>
    <row r="91" spans="1:37" ht="15" customHeight="1">
      <c r="A91" s="453" t="s">
        <v>868</v>
      </c>
      <c r="B91" s="467">
        <v>4146</v>
      </c>
      <c r="C91" s="468">
        <f t="shared" si="13"/>
        <v>9408127.42854762</v>
      </c>
      <c r="D91" s="468">
        <f t="shared" si="14"/>
        <v>1318475.7518115796</v>
      </c>
      <c r="E91" s="468">
        <v>0</v>
      </c>
      <c r="F91" s="468">
        <f t="shared" si="15"/>
        <v>10726603.1803592</v>
      </c>
      <c r="G91" s="469">
        <f t="shared" si="16"/>
        <v>2587.2173613987457</v>
      </c>
      <c r="H91" s="460">
        <f t="shared" si="17"/>
        <v>1199.9026386012542</v>
      </c>
      <c r="I91" s="380">
        <f t="shared" si="18"/>
      </c>
      <c r="J91" s="380">
        <f t="shared" si="19"/>
      </c>
      <c r="K91" s="461">
        <f t="shared" si="20"/>
        <v>959.9221108810034</v>
      </c>
      <c r="L91" s="488">
        <f t="shared" si="21"/>
        <v>3979837.07171264</v>
      </c>
      <c r="M91" s="488"/>
      <c r="N91" s="478">
        <v>226</v>
      </c>
      <c r="O91" s="389" t="s">
        <v>868</v>
      </c>
      <c r="P91" s="471">
        <v>0</v>
      </c>
      <c r="Q91" s="472" t="s">
        <v>790</v>
      </c>
      <c r="X91" s="473" t="s">
        <v>130</v>
      </c>
      <c r="Y91" s="474">
        <v>21</v>
      </c>
      <c r="Z91" s="475">
        <v>9953182.67</v>
      </c>
      <c r="AA91" s="476">
        <f t="shared" si="22"/>
        <v>47396107.952380955</v>
      </c>
      <c r="AB91" s="475">
        <v>1318475.7518115796</v>
      </c>
      <c r="AE91" s="489">
        <v>226</v>
      </c>
      <c r="AF91">
        <f t="shared" si="23"/>
        <v>0</v>
      </c>
      <c r="AH91" s="477">
        <v>10026.210049085625</v>
      </c>
      <c r="AI91">
        <f t="shared" si="24"/>
        <v>10026210.049085625</v>
      </c>
      <c r="AJ91" s="490">
        <v>1320.482296</v>
      </c>
      <c r="AK91">
        <f t="shared" si="25"/>
        <v>1320482.2959999999</v>
      </c>
    </row>
    <row r="92" spans="1:37" ht="15" customHeight="1">
      <c r="A92" s="453" t="s">
        <v>869</v>
      </c>
      <c r="B92" s="467">
        <v>2403</v>
      </c>
      <c r="C92" s="468">
        <f t="shared" si="13"/>
        <v>5216464.482682927</v>
      </c>
      <c r="D92" s="468">
        <f t="shared" si="14"/>
        <v>612063.7646093989</v>
      </c>
      <c r="E92" s="468">
        <v>0</v>
      </c>
      <c r="F92" s="468">
        <f t="shared" si="15"/>
        <v>5828528.247292326</v>
      </c>
      <c r="G92" s="469">
        <f t="shared" si="16"/>
        <v>2425.521534453735</v>
      </c>
      <c r="H92" s="460">
        <f t="shared" si="17"/>
        <v>1361.5984655462648</v>
      </c>
      <c r="I92" s="380">
        <f t="shared" si="18"/>
      </c>
      <c r="J92" s="380">
        <f t="shared" si="19"/>
      </c>
      <c r="K92" s="461">
        <f t="shared" si="20"/>
        <v>1089.2787724370119</v>
      </c>
      <c r="L92" s="488">
        <f t="shared" si="21"/>
        <v>2617536.8901661397</v>
      </c>
      <c r="M92" s="488"/>
      <c r="N92" s="478">
        <v>230</v>
      </c>
      <c r="O92" s="389" t="s">
        <v>869</v>
      </c>
      <c r="P92" s="471">
        <v>0</v>
      </c>
      <c r="Q92" s="472" t="s">
        <v>774</v>
      </c>
      <c r="X92" s="473" t="s">
        <v>131</v>
      </c>
      <c r="Y92" s="474">
        <v>20.5</v>
      </c>
      <c r="Z92" s="475">
        <v>5387280.7</v>
      </c>
      <c r="AA92" s="476">
        <f t="shared" si="22"/>
        <v>26279418.048780486</v>
      </c>
      <c r="AB92" s="475">
        <v>612063.7646093989</v>
      </c>
      <c r="AE92" s="489">
        <v>230</v>
      </c>
      <c r="AF92">
        <f t="shared" si="23"/>
        <v>0</v>
      </c>
      <c r="AH92" s="477">
        <v>5308.435448915827</v>
      </c>
      <c r="AI92">
        <f t="shared" si="24"/>
        <v>5308435.448915827</v>
      </c>
      <c r="AJ92" s="490">
        <v>612.995244</v>
      </c>
      <c r="AK92">
        <f t="shared" si="25"/>
        <v>612995.244</v>
      </c>
    </row>
    <row r="93" spans="1:37" ht="15" customHeight="1">
      <c r="A93" s="453" t="s">
        <v>870</v>
      </c>
      <c r="B93" s="467">
        <v>1274</v>
      </c>
      <c r="C93" s="468">
        <f t="shared" si="13"/>
        <v>4355487.117295455</v>
      </c>
      <c r="D93" s="468">
        <f t="shared" si="14"/>
        <v>1083684.1772630762</v>
      </c>
      <c r="E93" s="468">
        <v>0</v>
      </c>
      <c r="F93" s="468">
        <f t="shared" si="15"/>
        <v>5439171.294558532</v>
      </c>
      <c r="G93" s="469">
        <f t="shared" si="16"/>
        <v>4269.365223358345</v>
      </c>
      <c r="H93" s="460">
        <f t="shared" si="17"/>
        <v>-482.24522335834536</v>
      </c>
      <c r="I93" s="380">
        <f t="shared" si="18"/>
        <v>6.178452746829258</v>
      </c>
      <c r="J93" s="380">
        <f t="shared" si="19"/>
        <v>36.17845274682926</v>
      </c>
      <c r="K93" s="461">
        <f t="shared" si="20"/>
        <v>-174.46886025654018</v>
      </c>
      <c r="L93" s="488">
        <f t="shared" si="21"/>
        <v>-222273.3279668322</v>
      </c>
      <c r="M93" s="488"/>
      <c r="N93" s="478">
        <v>231</v>
      </c>
      <c r="O93" s="479" t="s">
        <v>871</v>
      </c>
      <c r="P93" s="471">
        <v>1</v>
      </c>
      <c r="Q93" s="472" t="s">
        <v>835</v>
      </c>
      <c r="S93" s="1"/>
      <c r="T93" s="1"/>
      <c r="U93" s="1"/>
      <c r="X93" s="473" t="s">
        <v>132</v>
      </c>
      <c r="Y93" s="474">
        <v>22</v>
      </c>
      <c r="Z93" s="475">
        <v>4827240.13</v>
      </c>
      <c r="AA93" s="476">
        <f t="shared" si="22"/>
        <v>21942000.59090909</v>
      </c>
      <c r="AB93" s="475">
        <v>1083684.1772630762</v>
      </c>
      <c r="AC93" s="1"/>
      <c r="AE93" s="489">
        <v>231</v>
      </c>
      <c r="AF93">
        <f t="shared" si="23"/>
        <v>0</v>
      </c>
      <c r="AH93" s="477">
        <v>4928.614662518767</v>
      </c>
      <c r="AI93">
        <f t="shared" si="24"/>
        <v>4928614.662518767</v>
      </c>
      <c r="AJ93" s="490">
        <v>1085.3334</v>
      </c>
      <c r="AK93">
        <f t="shared" si="25"/>
        <v>1085333.4</v>
      </c>
    </row>
    <row r="94" spans="1:37" s="1" customFormat="1" ht="15" customHeight="1">
      <c r="A94" s="453" t="s">
        <v>872</v>
      </c>
      <c r="B94" s="467">
        <v>13610</v>
      </c>
      <c r="C94" s="468">
        <f t="shared" si="13"/>
        <v>34001697.34881819</v>
      </c>
      <c r="D94" s="468">
        <f t="shared" si="14"/>
        <v>3919462.692700969</v>
      </c>
      <c r="E94" s="468">
        <v>0</v>
      </c>
      <c r="F94" s="468">
        <f t="shared" si="15"/>
        <v>37921160.04151916</v>
      </c>
      <c r="G94" s="469">
        <f t="shared" si="16"/>
        <v>2786.2718619778957</v>
      </c>
      <c r="H94" s="460">
        <f t="shared" si="17"/>
        <v>1000.8481380221042</v>
      </c>
      <c r="I94" s="380">
        <f t="shared" si="18"/>
      </c>
      <c r="J94" s="380">
        <f t="shared" si="19"/>
      </c>
      <c r="K94" s="461">
        <f t="shared" si="20"/>
        <v>800.6785104176834</v>
      </c>
      <c r="L94" s="488">
        <f t="shared" si="21"/>
        <v>10897234.52678467</v>
      </c>
      <c r="M94" s="488"/>
      <c r="N94" s="478">
        <v>232</v>
      </c>
      <c r="O94" s="389" t="s">
        <v>872</v>
      </c>
      <c r="P94" s="471">
        <v>0</v>
      </c>
      <c r="Q94" s="472" t="s">
        <v>755</v>
      </c>
      <c r="R94"/>
      <c r="S94"/>
      <c r="T94"/>
      <c r="U94"/>
      <c r="V94"/>
      <c r="W94"/>
      <c r="X94" s="473" t="s">
        <v>133</v>
      </c>
      <c r="Y94" s="474">
        <v>22</v>
      </c>
      <c r="Z94" s="475">
        <v>37684500.84</v>
      </c>
      <c r="AA94" s="476">
        <f t="shared" si="22"/>
        <v>171293185.63636366</v>
      </c>
      <c r="AB94" s="475">
        <v>3919462.692700969</v>
      </c>
      <c r="AC94"/>
      <c r="AE94" s="489">
        <v>232</v>
      </c>
      <c r="AF94">
        <f t="shared" si="23"/>
        <v>0</v>
      </c>
      <c r="AH94" s="477">
        <v>37666.5182460282</v>
      </c>
      <c r="AI94">
        <f t="shared" si="24"/>
        <v>37666518.2460282</v>
      </c>
      <c r="AJ94" s="490">
        <v>3925.4275919999995</v>
      </c>
      <c r="AK94">
        <f t="shared" si="25"/>
        <v>3925427.5919999997</v>
      </c>
    </row>
    <row r="95" spans="1:37" ht="15" customHeight="1">
      <c r="A95" s="466" t="s">
        <v>873</v>
      </c>
      <c r="B95" s="467">
        <v>16278</v>
      </c>
      <c r="C95" s="468">
        <f t="shared" si="13"/>
        <v>42204275.69882759</v>
      </c>
      <c r="D95" s="468">
        <f t="shared" si="14"/>
        <v>3317095.4992040154</v>
      </c>
      <c r="E95" s="468">
        <v>0</v>
      </c>
      <c r="F95" s="468">
        <f t="shared" si="15"/>
        <v>45521371.198031604</v>
      </c>
      <c r="G95" s="469">
        <f t="shared" si="16"/>
        <v>2796.496571939526</v>
      </c>
      <c r="H95" s="460">
        <f t="shared" si="17"/>
        <v>990.623428060474</v>
      </c>
      <c r="I95" s="380">
        <f t="shared" si="18"/>
      </c>
      <c r="J95" s="380">
        <f t="shared" si="19"/>
      </c>
      <c r="K95" s="461">
        <f t="shared" si="20"/>
        <v>792.4987424483793</v>
      </c>
      <c r="L95" s="488">
        <f t="shared" si="21"/>
        <v>12900294.529574718</v>
      </c>
      <c r="M95" s="488"/>
      <c r="N95" s="470">
        <v>233</v>
      </c>
      <c r="O95" s="389" t="s">
        <v>873</v>
      </c>
      <c r="P95" s="471">
        <v>0</v>
      </c>
      <c r="Q95" s="472" t="s">
        <v>755</v>
      </c>
      <c r="X95" s="473" t="s">
        <v>134</v>
      </c>
      <c r="Y95" s="474">
        <v>21.75</v>
      </c>
      <c r="Z95" s="475">
        <v>46243979.67</v>
      </c>
      <c r="AA95" s="476">
        <f t="shared" si="22"/>
        <v>212615998.4827586</v>
      </c>
      <c r="AB95" s="475">
        <v>3317095.4992040154</v>
      </c>
      <c r="AE95" s="489">
        <v>233</v>
      </c>
      <c r="AF95">
        <f t="shared" si="23"/>
        <v>0</v>
      </c>
      <c r="AH95" s="477">
        <v>45831.98278478316</v>
      </c>
      <c r="AI95">
        <f t="shared" si="24"/>
        <v>45831982.78478316</v>
      </c>
      <c r="AJ95" s="490">
        <v>3322.143676</v>
      </c>
      <c r="AK95">
        <f t="shared" si="25"/>
        <v>3322143.676</v>
      </c>
    </row>
    <row r="96" spans="1:37" ht="15" customHeight="1">
      <c r="A96" s="453" t="s">
        <v>874</v>
      </c>
      <c r="B96" s="467">
        <v>9624</v>
      </c>
      <c r="C96" s="468">
        <f t="shared" si="13"/>
        <v>71755573.97294119</v>
      </c>
      <c r="D96" s="468">
        <f t="shared" si="14"/>
        <v>1873625.8474319826</v>
      </c>
      <c r="E96" s="468">
        <v>0</v>
      </c>
      <c r="F96" s="468">
        <f t="shared" si="15"/>
        <v>73629199.82037318</v>
      </c>
      <c r="G96" s="469">
        <f t="shared" si="16"/>
        <v>7650.581859972275</v>
      </c>
      <c r="H96" s="460">
        <f t="shared" si="17"/>
        <v>-3863.4618599722753</v>
      </c>
      <c r="I96" s="380">
        <f t="shared" si="18"/>
        <v>8.259318915439904</v>
      </c>
      <c r="J96" s="380">
        <f t="shared" si="19"/>
        <v>38.259318915439906</v>
      </c>
      <c r="K96" s="461">
        <f t="shared" si="20"/>
        <v>-1478.134194183179</v>
      </c>
      <c r="L96" s="488">
        <f t="shared" si="21"/>
        <v>-14225563.484818915</v>
      </c>
      <c r="M96" s="488"/>
      <c r="N96" s="478">
        <v>235</v>
      </c>
      <c r="O96" s="479" t="s">
        <v>875</v>
      </c>
      <c r="P96" s="471">
        <v>1</v>
      </c>
      <c r="Q96" s="472" t="s">
        <v>762</v>
      </c>
      <c r="X96" s="473" t="s">
        <v>135</v>
      </c>
      <c r="Y96" s="474">
        <v>17</v>
      </c>
      <c r="Z96" s="475">
        <v>61453136.4</v>
      </c>
      <c r="AA96" s="476">
        <f t="shared" si="22"/>
        <v>361489037.64705884</v>
      </c>
      <c r="AB96" s="475">
        <v>1873625.8474319826</v>
      </c>
      <c r="AE96" s="489">
        <v>235</v>
      </c>
      <c r="AF96">
        <f t="shared" si="23"/>
        <v>0</v>
      </c>
      <c r="AH96" s="477">
        <v>62209.03592511302</v>
      </c>
      <c r="AI96">
        <f t="shared" si="24"/>
        <v>62209035.92511302</v>
      </c>
      <c r="AJ96" s="490">
        <v>1876.4772560000001</v>
      </c>
      <c r="AK96">
        <f t="shared" si="25"/>
        <v>1876477.256</v>
      </c>
    </row>
    <row r="97" spans="1:37" ht="15" customHeight="1">
      <c r="A97" s="453" t="s">
        <v>876</v>
      </c>
      <c r="B97" s="467">
        <v>4309</v>
      </c>
      <c r="C97" s="468">
        <f t="shared" si="13"/>
        <v>11201805.01334884</v>
      </c>
      <c r="D97" s="468">
        <f t="shared" si="14"/>
        <v>991032.1413005417</v>
      </c>
      <c r="E97" s="468">
        <v>0</v>
      </c>
      <c r="F97" s="468">
        <f t="shared" si="15"/>
        <v>12192837.154649382</v>
      </c>
      <c r="G97" s="469">
        <f t="shared" si="16"/>
        <v>2829.6210616498915</v>
      </c>
      <c r="H97" s="460">
        <f t="shared" si="17"/>
        <v>957.4989383501083</v>
      </c>
      <c r="I97" s="380">
        <f t="shared" si="18"/>
      </c>
      <c r="J97" s="380">
        <f t="shared" si="19"/>
      </c>
      <c r="K97" s="461">
        <f t="shared" si="20"/>
        <v>765.9991506800867</v>
      </c>
      <c r="L97" s="488">
        <f t="shared" si="21"/>
        <v>3300690.3402804937</v>
      </c>
      <c r="M97" s="488"/>
      <c r="N97" s="478">
        <v>236</v>
      </c>
      <c r="O97" s="479" t="s">
        <v>877</v>
      </c>
      <c r="P97" s="471">
        <v>0</v>
      </c>
      <c r="Q97" s="472" t="s">
        <v>785</v>
      </c>
      <c r="X97" s="473" t="s">
        <v>136</v>
      </c>
      <c r="Y97" s="474">
        <v>21.5</v>
      </c>
      <c r="Z97" s="475">
        <v>12132937.42</v>
      </c>
      <c r="AA97" s="476">
        <f t="shared" si="22"/>
        <v>56432267.069767445</v>
      </c>
      <c r="AB97" s="475">
        <v>991032.1413005417</v>
      </c>
      <c r="AE97" s="489">
        <v>236</v>
      </c>
      <c r="AF97">
        <f t="shared" si="23"/>
        <v>0</v>
      </c>
      <c r="AH97" s="477">
        <v>12158.315130203788</v>
      </c>
      <c r="AI97">
        <f t="shared" si="24"/>
        <v>12158315.130203787</v>
      </c>
      <c r="AJ97" s="490">
        <v>992.5403599999999</v>
      </c>
      <c r="AK97">
        <f t="shared" si="25"/>
        <v>992540.3599999999</v>
      </c>
    </row>
    <row r="98" spans="1:37" ht="15" customHeight="1">
      <c r="A98" s="453" t="s">
        <v>878</v>
      </c>
      <c r="B98" s="467">
        <v>2309</v>
      </c>
      <c r="C98" s="468">
        <f t="shared" si="13"/>
        <v>5661177.869585366</v>
      </c>
      <c r="D98" s="468">
        <f t="shared" si="14"/>
        <v>623553.9460861661</v>
      </c>
      <c r="E98" s="468">
        <v>0</v>
      </c>
      <c r="F98" s="468">
        <f t="shared" si="15"/>
        <v>6284731.815671532</v>
      </c>
      <c r="G98" s="469">
        <f t="shared" si="16"/>
        <v>2721.841409992002</v>
      </c>
      <c r="H98" s="460">
        <f t="shared" si="17"/>
        <v>1065.278590007998</v>
      </c>
      <c r="I98" s="380">
        <f t="shared" si="18"/>
      </c>
      <c r="J98" s="380">
        <f t="shared" si="19"/>
      </c>
      <c r="K98" s="461">
        <f t="shared" si="20"/>
        <v>852.2228720063985</v>
      </c>
      <c r="L98" s="488">
        <f t="shared" si="21"/>
        <v>1967782.611462774</v>
      </c>
      <c r="M98" s="488"/>
      <c r="N98" s="478">
        <v>239</v>
      </c>
      <c r="O98" s="389" t="s">
        <v>878</v>
      </c>
      <c r="P98" s="471">
        <v>0</v>
      </c>
      <c r="Q98" s="472" t="s">
        <v>819</v>
      </c>
      <c r="X98" s="473" t="s">
        <v>137</v>
      </c>
      <c r="Y98" s="474">
        <v>20.5</v>
      </c>
      <c r="Z98" s="475">
        <v>5846556.49</v>
      </c>
      <c r="AA98" s="476">
        <f t="shared" si="22"/>
        <v>28519787.756097563</v>
      </c>
      <c r="AB98" s="475">
        <v>623553.9460861661</v>
      </c>
      <c r="AE98" s="489">
        <v>239</v>
      </c>
      <c r="AF98">
        <f t="shared" si="23"/>
        <v>0</v>
      </c>
      <c r="AH98" s="477">
        <v>5857.792671563691</v>
      </c>
      <c r="AI98">
        <f t="shared" si="24"/>
        <v>5857792.671563691</v>
      </c>
      <c r="AJ98" s="490">
        <v>624.502912</v>
      </c>
      <c r="AK98">
        <f t="shared" si="25"/>
        <v>624502.912</v>
      </c>
    </row>
    <row r="99" spans="1:37" ht="15" customHeight="1">
      <c r="A99" s="453" t="s">
        <v>879</v>
      </c>
      <c r="B99" s="467">
        <v>21256</v>
      </c>
      <c r="C99" s="468">
        <f t="shared" si="13"/>
        <v>67809850.97174715</v>
      </c>
      <c r="D99" s="468">
        <f t="shared" si="14"/>
        <v>7203995.200433578</v>
      </c>
      <c r="E99" s="468">
        <v>0</v>
      </c>
      <c r="F99" s="468">
        <f t="shared" si="15"/>
        <v>75013846.17218073</v>
      </c>
      <c r="G99" s="469">
        <f t="shared" si="16"/>
        <v>3529.066906858333</v>
      </c>
      <c r="H99" s="460">
        <f t="shared" si="17"/>
        <v>258.053093141667</v>
      </c>
      <c r="I99" s="380">
        <f t="shared" si="18"/>
      </c>
      <c r="J99" s="380">
        <f t="shared" si="19"/>
      </c>
      <c r="K99" s="461">
        <f t="shared" si="20"/>
        <v>206.4424745133336</v>
      </c>
      <c r="L99" s="488">
        <f t="shared" si="21"/>
        <v>4388141.238255419</v>
      </c>
      <c r="M99" s="488"/>
      <c r="N99" s="478">
        <v>240</v>
      </c>
      <c r="O99" s="389" t="s">
        <v>879</v>
      </c>
      <c r="P99" s="471">
        <v>0</v>
      </c>
      <c r="Q99" s="472" t="s">
        <v>770</v>
      </c>
      <c r="X99" s="473" t="s">
        <v>138</v>
      </c>
      <c r="Y99" s="474">
        <v>21.75</v>
      </c>
      <c r="Z99" s="475">
        <v>74300466.43</v>
      </c>
      <c r="AA99" s="476">
        <f t="shared" si="22"/>
        <v>341611339.908046</v>
      </c>
      <c r="AB99" s="475">
        <v>7203995.200433578</v>
      </c>
      <c r="AE99" s="489">
        <v>240</v>
      </c>
      <c r="AF99">
        <f t="shared" si="23"/>
        <v>0</v>
      </c>
      <c r="AH99" s="477">
        <v>74634.94154043178</v>
      </c>
      <c r="AI99">
        <f t="shared" si="24"/>
        <v>74634941.54043178</v>
      </c>
      <c r="AJ99" s="490">
        <v>7214.9587200000005</v>
      </c>
      <c r="AK99">
        <f t="shared" si="25"/>
        <v>7214958.720000001</v>
      </c>
    </row>
    <row r="100" spans="1:37" ht="15" customHeight="1">
      <c r="A100" s="453" t="s">
        <v>880</v>
      </c>
      <c r="B100" s="467">
        <v>8296</v>
      </c>
      <c r="C100" s="468">
        <f t="shared" si="13"/>
        <v>28611520.124070592</v>
      </c>
      <c r="D100" s="468">
        <f t="shared" si="14"/>
        <v>1078833.4514206436</v>
      </c>
      <c r="E100" s="468">
        <v>0</v>
      </c>
      <c r="F100" s="468">
        <f t="shared" si="15"/>
        <v>29690353.575491235</v>
      </c>
      <c r="G100" s="469">
        <f t="shared" si="16"/>
        <v>3578.87579260984</v>
      </c>
      <c r="H100" s="460">
        <f t="shared" si="17"/>
        <v>208.24420739015977</v>
      </c>
      <c r="I100" s="380">
        <f t="shared" si="18"/>
      </c>
      <c r="J100" s="380">
        <f t="shared" si="19"/>
      </c>
      <c r="K100" s="461">
        <f t="shared" si="20"/>
        <v>166.59536591212782</v>
      </c>
      <c r="L100" s="488">
        <f t="shared" si="21"/>
        <v>1382075.1556070123</v>
      </c>
      <c r="M100" s="488"/>
      <c r="N100" s="478">
        <v>241</v>
      </c>
      <c r="O100" s="389" t="s">
        <v>880</v>
      </c>
      <c r="P100" s="471">
        <v>0</v>
      </c>
      <c r="Q100" s="472" t="s">
        <v>770</v>
      </c>
      <c r="X100" s="473" t="s">
        <v>140</v>
      </c>
      <c r="Y100" s="474">
        <v>21.25</v>
      </c>
      <c r="Z100" s="475">
        <v>30629461.09</v>
      </c>
      <c r="AA100" s="476">
        <f t="shared" si="22"/>
        <v>144138640.42352942</v>
      </c>
      <c r="AB100" s="475">
        <v>1078833.4514206436</v>
      </c>
      <c r="AE100" s="489">
        <v>241</v>
      </c>
      <c r="AF100">
        <f t="shared" si="23"/>
        <v>0</v>
      </c>
      <c r="AH100" s="477">
        <v>30530.48173878002</v>
      </c>
      <c r="AI100">
        <f t="shared" si="24"/>
        <v>30530481.73878002</v>
      </c>
      <c r="AJ100" s="490">
        <v>1080.475292</v>
      </c>
      <c r="AK100">
        <f t="shared" si="25"/>
        <v>1080475.2920000001</v>
      </c>
    </row>
    <row r="101" spans="1:37" ht="15" customHeight="1">
      <c r="A101" s="453" t="s">
        <v>881</v>
      </c>
      <c r="B101" s="467">
        <v>17535</v>
      </c>
      <c r="C101" s="468">
        <f t="shared" si="13"/>
        <v>59676265.32712195</v>
      </c>
      <c r="D101" s="468">
        <f t="shared" si="14"/>
        <v>3795435.3337939843</v>
      </c>
      <c r="E101" s="468">
        <v>0</v>
      </c>
      <c r="F101" s="468">
        <f t="shared" si="15"/>
        <v>63471700.66091593</v>
      </c>
      <c r="G101" s="469">
        <f t="shared" si="16"/>
        <v>3619.7148936935237</v>
      </c>
      <c r="H101" s="460">
        <f t="shared" si="17"/>
        <v>167.40510630647623</v>
      </c>
      <c r="I101" s="380">
        <f t="shared" si="18"/>
      </c>
      <c r="J101" s="380">
        <f t="shared" si="19"/>
      </c>
      <c r="K101" s="461">
        <f t="shared" si="20"/>
        <v>133.924085045181</v>
      </c>
      <c r="L101" s="488">
        <f t="shared" si="21"/>
        <v>2348358.831267249</v>
      </c>
      <c r="M101" s="488"/>
      <c r="N101" s="478">
        <v>244</v>
      </c>
      <c r="O101" s="389" t="s">
        <v>881</v>
      </c>
      <c r="P101" s="471">
        <v>0</v>
      </c>
      <c r="Q101" s="472" t="s">
        <v>757</v>
      </c>
      <c r="U101" s="53"/>
      <c r="X101" s="473" t="s">
        <v>142</v>
      </c>
      <c r="Y101" s="474">
        <v>20.5</v>
      </c>
      <c r="Z101" s="475">
        <v>61630399.96</v>
      </c>
      <c r="AA101" s="476">
        <f t="shared" si="22"/>
        <v>300636097.36585367</v>
      </c>
      <c r="AB101" s="475">
        <v>3795435.3337939843</v>
      </c>
      <c r="AE101" s="489">
        <v>244</v>
      </c>
      <c r="AF101">
        <f t="shared" si="23"/>
        <v>0</v>
      </c>
      <c r="AH101" s="477">
        <v>61878.84797995724</v>
      </c>
      <c r="AI101">
        <f t="shared" si="24"/>
        <v>61878847.97995724</v>
      </c>
      <c r="AJ101" s="490">
        <v>3801.2114799999995</v>
      </c>
      <c r="AK101">
        <f t="shared" si="25"/>
        <v>3801211.4799999995</v>
      </c>
    </row>
    <row r="102" spans="1:37" ht="15" customHeight="1">
      <c r="A102" s="453" t="s">
        <v>882</v>
      </c>
      <c r="B102" s="467">
        <v>35554</v>
      </c>
      <c r="C102" s="468">
        <f t="shared" si="13"/>
        <v>139319099.15966234</v>
      </c>
      <c r="D102" s="468">
        <f t="shared" si="14"/>
        <v>9318954.654314324</v>
      </c>
      <c r="E102" s="468">
        <v>0</v>
      </c>
      <c r="F102" s="468">
        <f t="shared" si="15"/>
        <v>148638053.81397665</v>
      </c>
      <c r="G102" s="469">
        <f t="shared" si="16"/>
        <v>4180.628166000356</v>
      </c>
      <c r="H102" s="460">
        <f t="shared" si="17"/>
        <v>-393.50816600035614</v>
      </c>
      <c r="I102" s="380">
        <f t="shared" si="18"/>
        <v>5.975101819866673</v>
      </c>
      <c r="J102" s="380">
        <f t="shared" si="19"/>
        <v>35.97510181986667</v>
      </c>
      <c r="K102" s="461">
        <f t="shared" si="20"/>
        <v>-141.5649633881181</v>
      </c>
      <c r="L102" s="488">
        <f t="shared" si="21"/>
        <v>-5033200.70830115</v>
      </c>
      <c r="M102" s="488"/>
      <c r="N102" s="478">
        <v>245</v>
      </c>
      <c r="O102" s="479" t="s">
        <v>883</v>
      </c>
      <c r="P102" s="471">
        <v>0</v>
      </c>
      <c r="Q102" s="472" t="s">
        <v>762</v>
      </c>
      <c r="X102" s="473" t="s">
        <v>143</v>
      </c>
      <c r="Y102" s="474">
        <v>19.25</v>
      </c>
      <c r="Z102" s="475">
        <v>135107942.51</v>
      </c>
      <c r="AA102" s="476">
        <f t="shared" si="22"/>
        <v>701859441.6103896</v>
      </c>
      <c r="AB102" s="475">
        <v>9318954.654314324</v>
      </c>
      <c r="AD102" s="1"/>
      <c r="AE102" s="489">
        <v>245</v>
      </c>
      <c r="AF102">
        <f t="shared" si="23"/>
        <v>0</v>
      </c>
      <c r="AG102" s="1"/>
      <c r="AH102" s="477">
        <v>135147.2117044705</v>
      </c>
      <c r="AI102">
        <f t="shared" si="24"/>
        <v>135147211.70447052</v>
      </c>
      <c r="AJ102" s="490">
        <v>9333.13686</v>
      </c>
      <c r="AK102">
        <f t="shared" si="25"/>
        <v>9333136.860000001</v>
      </c>
    </row>
    <row r="103" spans="1:37" ht="15" customHeight="1">
      <c r="A103" s="453" t="s">
        <v>884</v>
      </c>
      <c r="B103" s="467">
        <v>9919</v>
      </c>
      <c r="C103" s="468">
        <f t="shared" si="13"/>
        <v>27102822.08255814</v>
      </c>
      <c r="D103" s="468">
        <f t="shared" si="14"/>
        <v>2501221.095196169</v>
      </c>
      <c r="E103" s="468">
        <v>0</v>
      </c>
      <c r="F103" s="468">
        <f t="shared" si="15"/>
        <v>29604043.17775431</v>
      </c>
      <c r="G103" s="469">
        <f t="shared" si="16"/>
        <v>2984.579411004568</v>
      </c>
      <c r="H103" s="460">
        <f t="shared" si="17"/>
        <v>802.5405889954318</v>
      </c>
      <c r="I103" s="380">
        <f t="shared" si="18"/>
      </c>
      <c r="J103" s="380">
        <f t="shared" si="19"/>
      </c>
      <c r="K103" s="461">
        <f t="shared" si="20"/>
        <v>642.0324711963455</v>
      </c>
      <c r="L103" s="488">
        <f t="shared" si="21"/>
        <v>6368320.08179655</v>
      </c>
      <c r="M103" s="488"/>
      <c r="N103" s="478">
        <v>249</v>
      </c>
      <c r="O103" s="389" t="s">
        <v>884</v>
      </c>
      <c r="P103" s="471">
        <v>0</v>
      </c>
      <c r="Q103" s="472" t="s">
        <v>790</v>
      </c>
      <c r="X103" s="473" t="s">
        <v>144</v>
      </c>
      <c r="Y103" s="474">
        <v>21.5</v>
      </c>
      <c r="Z103" s="475">
        <v>29355701.5</v>
      </c>
      <c r="AA103" s="476">
        <f t="shared" si="22"/>
        <v>136538146.5116279</v>
      </c>
      <c r="AB103" s="475">
        <v>2501221.095196169</v>
      </c>
      <c r="AE103" s="489">
        <v>249</v>
      </c>
      <c r="AF103">
        <f t="shared" si="23"/>
        <v>0</v>
      </c>
      <c r="AH103" s="477">
        <v>29965.578662921136</v>
      </c>
      <c r="AI103">
        <f t="shared" si="24"/>
        <v>29965578.662921134</v>
      </c>
      <c r="AJ103" s="490">
        <v>2505.02762</v>
      </c>
      <c r="AK103">
        <f t="shared" si="25"/>
        <v>2505027.6199999996</v>
      </c>
    </row>
    <row r="104" spans="1:37" s="1" customFormat="1" ht="15" customHeight="1">
      <c r="A104" s="453" t="s">
        <v>885</v>
      </c>
      <c r="B104" s="467">
        <v>1967</v>
      </c>
      <c r="C104" s="468">
        <f t="shared" si="13"/>
        <v>4257389.223255814</v>
      </c>
      <c r="D104" s="468">
        <f t="shared" si="14"/>
        <v>667888.3150914566</v>
      </c>
      <c r="E104" s="468">
        <v>0</v>
      </c>
      <c r="F104" s="468">
        <f t="shared" si="15"/>
        <v>4925277.53834727</v>
      </c>
      <c r="G104" s="469">
        <f t="shared" si="16"/>
        <v>2503.9540103443164</v>
      </c>
      <c r="H104" s="460">
        <f t="shared" si="17"/>
        <v>1283.1659896556835</v>
      </c>
      <c r="I104" s="380">
        <f t="shared" si="18"/>
      </c>
      <c r="J104" s="380">
        <f t="shared" si="19"/>
      </c>
      <c r="K104" s="461">
        <f t="shared" si="20"/>
        <v>1026.5327917245468</v>
      </c>
      <c r="L104" s="488">
        <f t="shared" si="21"/>
        <v>2019190.0013221835</v>
      </c>
      <c r="M104" s="488"/>
      <c r="N104" s="478">
        <v>250</v>
      </c>
      <c r="O104" s="389" t="s">
        <v>885</v>
      </c>
      <c r="P104" s="471">
        <v>0</v>
      </c>
      <c r="Q104" s="472" t="s">
        <v>765</v>
      </c>
      <c r="R104"/>
      <c r="S104"/>
      <c r="T104"/>
      <c r="U104"/>
      <c r="V104"/>
      <c r="W104"/>
      <c r="X104" s="473" t="s">
        <v>145</v>
      </c>
      <c r="Y104" s="474">
        <v>21.5</v>
      </c>
      <c r="Z104" s="475">
        <v>4611278</v>
      </c>
      <c r="AA104" s="476">
        <f t="shared" si="22"/>
        <v>21447804.651162792</v>
      </c>
      <c r="AB104" s="475">
        <v>667888.3150914566</v>
      </c>
      <c r="AC104"/>
      <c r="AD104"/>
      <c r="AE104" s="489">
        <v>250</v>
      </c>
      <c r="AF104">
        <f t="shared" si="23"/>
        <v>0</v>
      </c>
      <c r="AG104"/>
      <c r="AH104" s="477">
        <v>4636.183833698667</v>
      </c>
      <c r="AI104">
        <f t="shared" si="24"/>
        <v>4636183.833698667</v>
      </c>
      <c r="AJ104" s="490">
        <v>668.904752</v>
      </c>
      <c r="AK104">
        <f t="shared" si="25"/>
        <v>668904.752</v>
      </c>
    </row>
    <row r="105" spans="1:37" ht="15" customHeight="1">
      <c r="A105" s="453" t="s">
        <v>886</v>
      </c>
      <c r="B105" s="467">
        <v>1656</v>
      </c>
      <c r="C105" s="468">
        <f t="shared" si="13"/>
        <v>3427288.063609756</v>
      </c>
      <c r="D105" s="468">
        <f t="shared" si="14"/>
        <v>578406.0232013388</v>
      </c>
      <c r="E105" s="468">
        <v>0</v>
      </c>
      <c r="F105" s="468">
        <f t="shared" si="15"/>
        <v>4005694.086811095</v>
      </c>
      <c r="G105" s="469">
        <f t="shared" si="16"/>
        <v>2418.897395417328</v>
      </c>
      <c r="H105" s="460">
        <f t="shared" si="17"/>
        <v>1368.222604582672</v>
      </c>
      <c r="I105" s="380">
        <f t="shared" si="18"/>
      </c>
      <c r="J105" s="380">
        <f t="shared" si="19"/>
      </c>
      <c r="K105" s="461">
        <f t="shared" si="20"/>
        <v>1094.5780836661377</v>
      </c>
      <c r="L105" s="488">
        <f t="shared" si="21"/>
        <v>1812621.306551124</v>
      </c>
      <c r="M105" s="488"/>
      <c r="N105" s="478">
        <v>256</v>
      </c>
      <c r="O105" s="389" t="s">
        <v>886</v>
      </c>
      <c r="P105" s="471">
        <v>0</v>
      </c>
      <c r="Q105" s="472" t="s">
        <v>790</v>
      </c>
      <c r="X105" s="473" t="s">
        <v>146</v>
      </c>
      <c r="Y105" s="474">
        <v>20.5</v>
      </c>
      <c r="Z105" s="475">
        <v>3539516.64</v>
      </c>
      <c r="AA105" s="476">
        <f t="shared" si="22"/>
        <v>17265934.82926829</v>
      </c>
      <c r="AB105" s="475">
        <v>578406.0232013388</v>
      </c>
      <c r="AD105" s="1"/>
      <c r="AE105" s="489">
        <v>256</v>
      </c>
      <c r="AF105">
        <f t="shared" si="23"/>
        <v>0</v>
      </c>
      <c r="AG105" s="1"/>
      <c r="AH105" s="477">
        <v>3644.303944589309</v>
      </c>
      <c r="AI105">
        <f t="shared" si="24"/>
        <v>3644303.944589309</v>
      </c>
      <c r="AJ105" s="490">
        <v>579.28628</v>
      </c>
      <c r="AK105">
        <f t="shared" si="25"/>
        <v>579286.28</v>
      </c>
    </row>
    <row r="106" spans="1:37" ht="15" customHeight="1">
      <c r="A106" s="453" t="s">
        <v>887</v>
      </c>
      <c r="B106" s="467">
        <v>39170</v>
      </c>
      <c r="C106" s="468">
        <f t="shared" si="13"/>
        <v>172666802.01633334</v>
      </c>
      <c r="D106" s="468">
        <f t="shared" si="14"/>
        <v>6637783.475137742</v>
      </c>
      <c r="E106" s="468">
        <v>0</v>
      </c>
      <c r="F106" s="468">
        <f t="shared" si="15"/>
        <v>179304585.49147108</v>
      </c>
      <c r="G106" s="469">
        <f t="shared" si="16"/>
        <v>4577.5998338389345</v>
      </c>
      <c r="H106" s="460">
        <f t="shared" si="17"/>
        <v>-790.4798338389346</v>
      </c>
      <c r="I106" s="380">
        <f t="shared" si="18"/>
        <v>6.672640145683941</v>
      </c>
      <c r="J106" s="380">
        <f t="shared" si="19"/>
        <v>36.67264014568394</v>
      </c>
      <c r="K106" s="461">
        <f t="shared" si="20"/>
        <v>-289.88982488795284</v>
      </c>
      <c r="L106" s="488">
        <f t="shared" si="21"/>
        <v>-11354984.440861113</v>
      </c>
      <c r="M106" s="488"/>
      <c r="N106" s="478">
        <v>257</v>
      </c>
      <c r="O106" s="479" t="s">
        <v>888</v>
      </c>
      <c r="P106" s="471">
        <v>1</v>
      </c>
      <c r="Q106" s="472" t="s">
        <v>762</v>
      </c>
      <c r="X106" s="473" t="s">
        <v>147</v>
      </c>
      <c r="Y106" s="474">
        <v>19.5</v>
      </c>
      <c r="Z106" s="475">
        <v>169622299.21</v>
      </c>
      <c r="AA106" s="476">
        <f t="shared" si="22"/>
        <v>869857944.6666666</v>
      </c>
      <c r="AB106" s="475">
        <v>6637783.475137742</v>
      </c>
      <c r="AE106" s="489">
        <v>257</v>
      </c>
      <c r="AF106">
        <f t="shared" si="23"/>
        <v>0</v>
      </c>
      <c r="AH106" s="477">
        <v>170960.4503749958</v>
      </c>
      <c r="AI106">
        <f t="shared" si="24"/>
        <v>170960450.3749958</v>
      </c>
      <c r="AJ106" s="490">
        <v>6647.885296</v>
      </c>
      <c r="AK106">
        <f t="shared" si="25"/>
        <v>6647885.296</v>
      </c>
    </row>
    <row r="107" spans="1:37" s="1" customFormat="1" ht="15" customHeight="1">
      <c r="A107" s="453" t="s">
        <v>889</v>
      </c>
      <c r="B107" s="467">
        <v>10486</v>
      </c>
      <c r="C107" s="468">
        <f t="shared" si="13"/>
        <v>25618629.99339535</v>
      </c>
      <c r="D107" s="468">
        <f t="shared" si="14"/>
        <v>2144051.795218615</v>
      </c>
      <c r="E107" s="468">
        <v>0</v>
      </c>
      <c r="F107" s="468">
        <f t="shared" si="15"/>
        <v>27762681.788613968</v>
      </c>
      <c r="G107" s="469">
        <f t="shared" si="16"/>
        <v>2647.595058994275</v>
      </c>
      <c r="H107" s="460">
        <f t="shared" si="17"/>
        <v>1139.524941005725</v>
      </c>
      <c r="I107" s="380">
        <f t="shared" si="18"/>
      </c>
      <c r="J107" s="380">
        <f t="shared" si="19"/>
      </c>
      <c r="K107" s="461">
        <f t="shared" si="20"/>
        <v>911.61995280458</v>
      </c>
      <c r="L107" s="488">
        <f t="shared" si="21"/>
        <v>9559246.825108826</v>
      </c>
      <c r="M107" s="488"/>
      <c r="N107" s="478">
        <v>260</v>
      </c>
      <c r="O107" s="389" t="s">
        <v>889</v>
      </c>
      <c r="P107" s="471">
        <v>0</v>
      </c>
      <c r="Q107" s="472" t="s">
        <v>826</v>
      </c>
      <c r="R107"/>
      <c r="S107"/>
      <c r="T107"/>
      <c r="U107"/>
      <c r="V107"/>
      <c r="W107"/>
      <c r="X107" s="473" t="s">
        <v>148</v>
      </c>
      <c r="Y107" s="474">
        <v>21.5</v>
      </c>
      <c r="Z107" s="475">
        <v>27748138.28</v>
      </c>
      <c r="AA107" s="476">
        <f t="shared" si="22"/>
        <v>129061108.27906977</v>
      </c>
      <c r="AB107" s="475">
        <v>2144051.795218615</v>
      </c>
      <c r="AC107"/>
      <c r="AD107"/>
      <c r="AE107" s="489">
        <v>260</v>
      </c>
      <c r="AF107">
        <f t="shared" si="23"/>
        <v>0</v>
      </c>
      <c r="AG107"/>
      <c r="AH107" s="477">
        <v>27934.96082916807</v>
      </c>
      <c r="AI107">
        <f t="shared" si="24"/>
        <v>27934960.82916807</v>
      </c>
      <c r="AJ107" s="490">
        <v>2147.314756</v>
      </c>
      <c r="AK107">
        <f t="shared" si="25"/>
        <v>2147314.756</v>
      </c>
    </row>
    <row r="108" spans="1:37" ht="15" customHeight="1">
      <c r="A108" s="453" t="s">
        <v>890</v>
      </c>
      <c r="B108" s="467">
        <v>6421</v>
      </c>
      <c r="C108" s="468">
        <f t="shared" si="13"/>
        <v>21065045.652839508</v>
      </c>
      <c r="D108" s="468">
        <f t="shared" si="14"/>
        <v>2153844.6637791917</v>
      </c>
      <c r="E108" s="468">
        <v>0</v>
      </c>
      <c r="F108" s="468">
        <f t="shared" si="15"/>
        <v>23218890.3166187</v>
      </c>
      <c r="G108" s="469">
        <f t="shared" si="16"/>
        <v>3616.0863287056063</v>
      </c>
      <c r="H108" s="460">
        <f t="shared" si="17"/>
        <v>171.03367129439357</v>
      </c>
      <c r="I108" s="380">
        <f t="shared" si="18"/>
      </c>
      <c r="J108" s="380">
        <f t="shared" si="19"/>
      </c>
      <c r="K108" s="461">
        <f t="shared" si="20"/>
        <v>136.82693703551487</v>
      </c>
      <c r="L108" s="488">
        <f t="shared" si="21"/>
        <v>878565.762705041</v>
      </c>
      <c r="M108" s="488"/>
      <c r="N108" s="478">
        <v>261</v>
      </c>
      <c r="O108" s="389" t="s">
        <v>890</v>
      </c>
      <c r="P108" s="471">
        <v>0</v>
      </c>
      <c r="Q108" s="472" t="s">
        <v>770</v>
      </c>
      <c r="S108" s="1"/>
      <c r="T108" s="1"/>
      <c r="U108" s="1"/>
      <c r="X108" s="473" t="s">
        <v>149</v>
      </c>
      <c r="Y108" s="474">
        <v>20.25</v>
      </c>
      <c r="Z108" s="475">
        <v>21489530.2</v>
      </c>
      <c r="AA108" s="476">
        <f t="shared" si="22"/>
        <v>106121136.79012346</v>
      </c>
      <c r="AB108" s="475">
        <v>2153844.6637791917</v>
      </c>
      <c r="AC108" s="1"/>
      <c r="AE108" s="489">
        <v>261</v>
      </c>
      <c r="AF108">
        <f t="shared" si="23"/>
        <v>0</v>
      </c>
      <c r="AH108" s="477">
        <v>20066.611017950658</v>
      </c>
      <c r="AI108">
        <f t="shared" si="24"/>
        <v>20066611.017950658</v>
      </c>
      <c r="AJ108" s="490">
        <v>2157.122528</v>
      </c>
      <c r="AK108">
        <f t="shared" si="25"/>
        <v>2157122.528</v>
      </c>
    </row>
    <row r="109" spans="1:37" ht="15" customHeight="1">
      <c r="A109" s="453" t="s">
        <v>891</v>
      </c>
      <c r="B109" s="467">
        <v>8283</v>
      </c>
      <c r="C109" s="468">
        <f t="shared" si="13"/>
        <v>19080122.743590362</v>
      </c>
      <c r="D109" s="468">
        <f t="shared" si="14"/>
        <v>1820924.3001557044</v>
      </c>
      <c r="E109" s="468">
        <v>0</v>
      </c>
      <c r="F109" s="468">
        <f t="shared" si="15"/>
        <v>20901047.043746065</v>
      </c>
      <c r="G109" s="469">
        <f t="shared" si="16"/>
        <v>2523.366780604378</v>
      </c>
      <c r="H109" s="460">
        <f t="shared" si="17"/>
        <v>1263.7532193956217</v>
      </c>
      <c r="I109" s="380">
        <f t="shared" si="18"/>
      </c>
      <c r="J109" s="380">
        <f t="shared" si="19"/>
      </c>
      <c r="K109" s="461">
        <f t="shared" si="20"/>
        <v>1011.0025755164975</v>
      </c>
      <c r="L109" s="488">
        <f t="shared" si="21"/>
        <v>8374134.333003148</v>
      </c>
      <c r="M109" s="488"/>
      <c r="N109" s="478">
        <v>263</v>
      </c>
      <c r="O109" s="389" t="s">
        <v>891</v>
      </c>
      <c r="P109" s="471">
        <v>0</v>
      </c>
      <c r="Q109" s="472" t="s">
        <v>819</v>
      </c>
      <c r="X109" s="473" t="s">
        <v>150</v>
      </c>
      <c r="Y109" s="474">
        <v>20.75</v>
      </c>
      <c r="Z109" s="475">
        <v>19945216.47</v>
      </c>
      <c r="AA109" s="476">
        <f t="shared" si="22"/>
        <v>96121525.15662651</v>
      </c>
      <c r="AB109" s="475">
        <v>1820924.3001557044</v>
      </c>
      <c r="AD109" s="480"/>
      <c r="AE109" s="489">
        <v>263</v>
      </c>
      <c r="AF109">
        <f t="shared" si="23"/>
        <v>0</v>
      </c>
      <c r="AG109" s="480"/>
      <c r="AH109" s="477">
        <v>19807.75424920467</v>
      </c>
      <c r="AI109">
        <f t="shared" si="24"/>
        <v>19807754.24920467</v>
      </c>
      <c r="AJ109" s="490">
        <v>1823.695504</v>
      </c>
      <c r="AK109">
        <f t="shared" si="25"/>
        <v>1823695.504</v>
      </c>
    </row>
    <row r="110" spans="1:37" ht="15" customHeight="1">
      <c r="A110" s="453" t="s">
        <v>892</v>
      </c>
      <c r="B110" s="467">
        <v>1132</v>
      </c>
      <c r="C110" s="468">
        <f t="shared" si="13"/>
        <v>2295009.5908139534</v>
      </c>
      <c r="D110" s="468">
        <f t="shared" si="14"/>
        <v>620000.32622149</v>
      </c>
      <c r="E110" s="468">
        <v>0</v>
      </c>
      <c r="F110" s="468">
        <f t="shared" si="15"/>
        <v>2915009.9170354437</v>
      </c>
      <c r="G110" s="469">
        <f t="shared" si="16"/>
        <v>2575.0970998546322</v>
      </c>
      <c r="H110" s="460">
        <f t="shared" si="17"/>
        <v>1212.0229001453677</v>
      </c>
      <c r="I110" s="380">
        <f t="shared" si="18"/>
      </c>
      <c r="J110" s="380">
        <f t="shared" si="19"/>
      </c>
      <c r="K110" s="461">
        <f t="shared" si="20"/>
        <v>969.6183201162942</v>
      </c>
      <c r="L110" s="488">
        <f t="shared" si="21"/>
        <v>1097607.938371645</v>
      </c>
      <c r="M110" s="488"/>
      <c r="N110" s="478">
        <v>265</v>
      </c>
      <c r="O110" s="389" t="s">
        <v>892</v>
      </c>
      <c r="P110" s="471">
        <v>0</v>
      </c>
      <c r="Q110" s="472" t="s">
        <v>790</v>
      </c>
      <c r="X110" s="473" t="s">
        <v>151</v>
      </c>
      <c r="Y110" s="474">
        <v>21.5</v>
      </c>
      <c r="Z110" s="475">
        <v>2485778.65</v>
      </c>
      <c r="AA110" s="476">
        <f t="shared" si="22"/>
        <v>11561761.162790697</v>
      </c>
      <c r="AB110" s="475">
        <v>620000.32622149</v>
      </c>
      <c r="AE110" s="489">
        <v>265</v>
      </c>
      <c r="AF110">
        <f t="shared" si="23"/>
        <v>0</v>
      </c>
      <c r="AH110" s="477">
        <v>2501.0475589256985</v>
      </c>
      <c r="AI110">
        <f t="shared" si="24"/>
        <v>2501047.5589256985</v>
      </c>
      <c r="AJ110" s="490">
        <v>620.943884</v>
      </c>
      <c r="AK110">
        <f t="shared" si="25"/>
        <v>620943.8840000001</v>
      </c>
    </row>
    <row r="111" spans="1:37" s="480" customFormat="1" ht="15" customHeight="1">
      <c r="A111" s="453" t="s">
        <v>893</v>
      </c>
      <c r="B111" s="467">
        <v>7381</v>
      </c>
      <c r="C111" s="468">
        <f t="shared" si="13"/>
        <v>20441181.178459775</v>
      </c>
      <c r="D111" s="468">
        <f t="shared" si="14"/>
        <v>1213215.8832881155</v>
      </c>
      <c r="E111" s="468">
        <v>0</v>
      </c>
      <c r="F111" s="468">
        <f t="shared" si="15"/>
        <v>21654397.06174789</v>
      </c>
      <c r="G111" s="469">
        <f t="shared" si="16"/>
        <v>2933.802609639329</v>
      </c>
      <c r="H111" s="460">
        <f t="shared" si="17"/>
        <v>853.3173903606707</v>
      </c>
      <c r="I111" s="380">
        <f t="shared" si="18"/>
      </c>
      <c r="J111" s="380">
        <f t="shared" si="19"/>
      </c>
      <c r="K111" s="461">
        <f t="shared" si="20"/>
        <v>682.6539122885366</v>
      </c>
      <c r="L111" s="488">
        <f t="shared" si="21"/>
        <v>5038668.526601689</v>
      </c>
      <c r="M111" s="488"/>
      <c r="N111" s="478">
        <v>271</v>
      </c>
      <c r="O111" s="479" t="s">
        <v>894</v>
      </c>
      <c r="P111" s="471">
        <v>0</v>
      </c>
      <c r="Q111" s="472" t="s">
        <v>774</v>
      </c>
      <c r="R111"/>
      <c r="S111" s="1"/>
      <c r="T111" s="1"/>
      <c r="U111" s="1"/>
      <c r="V111"/>
      <c r="W111"/>
      <c r="X111" s="473" t="s">
        <v>152</v>
      </c>
      <c r="Y111" s="474">
        <v>21.75</v>
      </c>
      <c r="Z111" s="475">
        <v>22397767.79</v>
      </c>
      <c r="AA111" s="476">
        <f t="shared" si="22"/>
        <v>102978242.71264368</v>
      </c>
      <c r="AB111" s="475">
        <v>1213215.8832881155</v>
      </c>
      <c r="AC111" s="1"/>
      <c r="AD111" s="1"/>
      <c r="AE111" s="489">
        <v>271</v>
      </c>
      <c r="AF111">
        <f t="shared" si="23"/>
        <v>0</v>
      </c>
      <c r="AG111" s="1"/>
      <c r="AH111" s="477">
        <v>22354.034269046733</v>
      </c>
      <c r="AI111">
        <f t="shared" si="24"/>
        <v>22354034.269046735</v>
      </c>
      <c r="AJ111" s="490">
        <v>1215.062236</v>
      </c>
      <c r="AK111">
        <f t="shared" si="25"/>
        <v>1215062.236</v>
      </c>
    </row>
    <row r="112" spans="1:37" ht="15" customHeight="1">
      <c r="A112" s="466" t="s">
        <v>895</v>
      </c>
      <c r="B112" s="467">
        <v>47723</v>
      </c>
      <c r="C112" s="468">
        <f t="shared" si="13"/>
        <v>146266520.8272184</v>
      </c>
      <c r="D112" s="468">
        <f t="shared" si="14"/>
        <v>15825834.982577028</v>
      </c>
      <c r="E112" s="468">
        <v>0</v>
      </c>
      <c r="F112" s="468">
        <f t="shared" si="15"/>
        <v>162092355.80979544</v>
      </c>
      <c r="G112" s="469">
        <f t="shared" si="16"/>
        <v>3396.524858240166</v>
      </c>
      <c r="H112" s="460">
        <f t="shared" si="17"/>
        <v>390.59514175983395</v>
      </c>
      <c r="I112" s="380">
        <f t="shared" si="18"/>
      </c>
      <c r="J112" s="380">
        <f t="shared" si="19"/>
      </c>
      <c r="K112" s="461">
        <f t="shared" si="20"/>
        <v>312.47611340786716</v>
      </c>
      <c r="L112" s="488">
        <f t="shared" si="21"/>
        <v>14912297.560163645</v>
      </c>
      <c r="M112" s="488"/>
      <c r="N112" s="470">
        <v>272</v>
      </c>
      <c r="O112" s="479" t="s">
        <v>896</v>
      </c>
      <c r="P112" s="471">
        <v>1</v>
      </c>
      <c r="Q112" s="472" t="s">
        <v>785</v>
      </c>
      <c r="X112" s="473" t="s">
        <v>153</v>
      </c>
      <c r="Y112" s="474">
        <v>21.75</v>
      </c>
      <c r="Z112" s="475">
        <v>160266842.72</v>
      </c>
      <c r="AA112" s="476">
        <f t="shared" si="22"/>
        <v>736859046.9885057</v>
      </c>
      <c r="AB112" s="475">
        <v>15825834.982577028</v>
      </c>
      <c r="AE112" s="489">
        <v>272</v>
      </c>
      <c r="AF112">
        <f t="shared" si="23"/>
        <v>0</v>
      </c>
      <c r="AH112" s="477">
        <v>159794.29234909033</v>
      </c>
      <c r="AI112">
        <f t="shared" si="24"/>
        <v>159794292.34909034</v>
      </c>
      <c r="AJ112" s="490">
        <v>15849.919791999999</v>
      </c>
      <c r="AK112">
        <f t="shared" si="25"/>
        <v>15849919.792</v>
      </c>
    </row>
    <row r="113" spans="1:37" s="1" customFormat="1" ht="15" customHeight="1">
      <c r="A113" s="453" t="s">
        <v>897</v>
      </c>
      <c r="B113" s="467">
        <v>3854</v>
      </c>
      <c r="C113" s="468">
        <f t="shared" si="13"/>
        <v>10291819.196525002</v>
      </c>
      <c r="D113" s="468">
        <f t="shared" si="14"/>
        <v>785240.177213929</v>
      </c>
      <c r="E113" s="468">
        <v>0</v>
      </c>
      <c r="F113" s="468">
        <f t="shared" si="15"/>
        <v>11077059.373738931</v>
      </c>
      <c r="G113" s="469">
        <f t="shared" si="16"/>
        <v>2874.172126035011</v>
      </c>
      <c r="H113" s="460">
        <f t="shared" si="17"/>
        <v>912.947873964989</v>
      </c>
      <c r="I113" s="380">
        <f t="shared" si="18"/>
      </c>
      <c r="J113" s="380">
        <f t="shared" si="19"/>
      </c>
      <c r="K113" s="461">
        <f t="shared" si="20"/>
        <v>730.3582991719912</v>
      </c>
      <c r="L113" s="488">
        <f t="shared" si="21"/>
        <v>2814800.8850088543</v>
      </c>
      <c r="M113" s="488"/>
      <c r="N113" s="478">
        <v>273</v>
      </c>
      <c r="O113" s="389" t="s">
        <v>897</v>
      </c>
      <c r="P113" s="471">
        <v>0</v>
      </c>
      <c r="Q113" s="472" t="s">
        <v>770</v>
      </c>
      <c r="R113"/>
      <c r="S113"/>
      <c r="T113"/>
      <c r="U113"/>
      <c r="V113"/>
      <c r="W113"/>
      <c r="X113" s="473" t="s">
        <v>154</v>
      </c>
      <c r="Y113" s="474">
        <v>20</v>
      </c>
      <c r="Z113" s="475">
        <v>10369591.13</v>
      </c>
      <c r="AA113" s="476">
        <f t="shared" si="22"/>
        <v>51847955.650000006</v>
      </c>
      <c r="AB113" s="475">
        <v>785240.177213929</v>
      </c>
      <c r="AC113"/>
      <c r="AD113"/>
      <c r="AE113" s="489">
        <v>273</v>
      </c>
      <c r="AF113">
        <f t="shared" si="23"/>
        <v>0</v>
      </c>
      <c r="AG113"/>
      <c r="AH113" s="477">
        <v>10527.38314143612</v>
      </c>
      <c r="AI113">
        <f t="shared" si="24"/>
        <v>10527383.141436119</v>
      </c>
      <c r="AJ113" s="490">
        <v>786.435208</v>
      </c>
      <c r="AK113">
        <f t="shared" si="25"/>
        <v>786435.208</v>
      </c>
    </row>
    <row r="114" spans="1:37" ht="15" customHeight="1">
      <c r="A114" s="453" t="s">
        <v>898</v>
      </c>
      <c r="B114" s="467">
        <v>2748</v>
      </c>
      <c r="C114" s="468">
        <f t="shared" si="13"/>
        <v>6573101.300227272</v>
      </c>
      <c r="D114" s="468">
        <f t="shared" si="14"/>
        <v>820836.8198729657</v>
      </c>
      <c r="E114" s="468">
        <v>0</v>
      </c>
      <c r="F114" s="468">
        <f t="shared" si="15"/>
        <v>7393938.120100238</v>
      </c>
      <c r="G114" s="469">
        <f t="shared" si="16"/>
        <v>2690.661615757001</v>
      </c>
      <c r="H114" s="460">
        <f t="shared" si="17"/>
        <v>1096.4583842429988</v>
      </c>
      <c r="I114" s="380">
        <f t="shared" si="18"/>
      </c>
      <c r="J114" s="380">
        <f t="shared" si="19"/>
      </c>
      <c r="K114" s="461">
        <f t="shared" si="20"/>
        <v>877.166707394399</v>
      </c>
      <c r="L114" s="488">
        <f t="shared" si="21"/>
        <v>2410454.1119198087</v>
      </c>
      <c r="M114" s="488"/>
      <c r="N114" s="478">
        <v>275</v>
      </c>
      <c r="O114" s="389" t="s">
        <v>898</v>
      </c>
      <c r="P114" s="471">
        <v>0</v>
      </c>
      <c r="Q114" s="472" t="s">
        <v>790</v>
      </c>
      <c r="X114" s="473" t="s">
        <v>155</v>
      </c>
      <c r="Y114" s="474">
        <v>22</v>
      </c>
      <c r="Z114" s="475">
        <v>7285049.3</v>
      </c>
      <c r="AA114" s="476">
        <f t="shared" si="22"/>
        <v>33113860.454545453</v>
      </c>
      <c r="AB114" s="475">
        <v>820836.8198729657</v>
      </c>
      <c r="AE114" s="489">
        <v>275</v>
      </c>
      <c r="AF114">
        <f t="shared" si="23"/>
        <v>0</v>
      </c>
      <c r="AH114" s="477">
        <v>7375.42443305662</v>
      </c>
      <c r="AI114">
        <f t="shared" si="24"/>
        <v>7375424.43305662</v>
      </c>
      <c r="AJ114" s="490">
        <v>822.086024</v>
      </c>
      <c r="AK114">
        <f t="shared" si="25"/>
        <v>822086.024</v>
      </c>
    </row>
    <row r="115" spans="1:37" ht="15" customHeight="1">
      <c r="A115" s="453" t="s">
        <v>899</v>
      </c>
      <c r="B115" s="467">
        <v>14830</v>
      </c>
      <c r="C115" s="468">
        <f t="shared" si="13"/>
        <v>45131826.81560976</v>
      </c>
      <c r="D115" s="468">
        <f t="shared" si="14"/>
        <v>1419324.333724728</v>
      </c>
      <c r="E115" s="468">
        <v>0</v>
      </c>
      <c r="F115" s="468">
        <f t="shared" si="15"/>
        <v>46551151.14933449</v>
      </c>
      <c r="G115" s="469">
        <f t="shared" si="16"/>
        <v>3138.9852427063042</v>
      </c>
      <c r="H115" s="460">
        <f t="shared" si="17"/>
        <v>648.1347572936957</v>
      </c>
      <c r="I115" s="380">
        <f t="shared" si="18"/>
      </c>
      <c r="J115" s="380">
        <f t="shared" si="19"/>
      </c>
      <c r="K115" s="461">
        <f t="shared" si="20"/>
        <v>518.5078058349566</v>
      </c>
      <c r="L115" s="488">
        <f t="shared" si="21"/>
        <v>7689470.760532406</v>
      </c>
      <c r="M115" s="488"/>
      <c r="N115" s="478">
        <v>276</v>
      </c>
      <c r="O115" s="389" t="s">
        <v>899</v>
      </c>
      <c r="P115" s="471">
        <v>0</v>
      </c>
      <c r="Q115" s="472" t="s">
        <v>826</v>
      </c>
      <c r="S115" s="480"/>
      <c r="T115" s="480"/>
      <c r="U115" s="480"/>
      <c r="X115" s="473" t="s">
        <v>156</v>
      </c>
      <c r="Y115" s="474">
        <v>20.5</v>
      </c>
      <c r="Z115" s="475">
        <v>46609695.2</v>
      </c>
      <c r="AA115" s="476">
        <f t="shared" si="22"/>
        <v>227364366.8292683</v>
      </c>
      <c r="AB115" s="475">
        <v>1419324.333724728</v>
      </c>
      <c r="AC115" s="480"/>
      <c r="AE115" s="489">
        <v>276</v>
      </c>
      <c r="AF115">
        <f t="shared" si="23"/>
        <v>0</v>
      </c>
      <c r="AH115" s="477">
        <v>46563.43621440355</v>
      </c>
      <c r="AI115">
        <f t="shared" si="24"/>
        <v>46563436.21440355</v>
      </c>
      <c r="AJ115" s="490">
        <v>1421.4843560000002</v>
      </c>
      <c r="AK115">
        <f t="shared" si="25"/>
        <v>1421484.3560000001</v>
      </c>
    </row>
    <row r="116" spans="1:37" ht="15" customHeight="1">
      <c r="A116" s="453" t="s">
        <v>900</v>
      </c>
      <c r="B116" s="467">
        <v>2154</v>
      </c>
      <c r="C116" s="468">
        <f t="shared" si="13"/>
        <v>5021675.581738095</v>
      </c>
      <c r="D116" s="468">
        <f t="shared" si="14"/>
        <v>853795.137710386</v>
      </c>
      <c r="E116" s="468">
        <v>0</v>
      </c>
      <c r="F116" s="468">
        <f t="shared" si="15"/>
        <v>5875470.719448481</v>
      </c>
      <c r="G116" s="469">
        <f t="shared" si="16"/>
        <v>2727.7022838665184</v>
      </c>
      <c r="H116" s="460">
        <f t="shared" si="17"/>
        <v>1059.4177161334815</v>
      </c>
      <c r="I116" s="380">
        <f t="shared" si="18"/>
      </c>
      <c r="J116" s="380">
        <f t="shared" si="19"/>
      </c>
      <c r="K116" s="461">
        <f t="shared" si="20"/>
        <v>847.5341729067852</v>
      </c>
      <c r="L116" s="488">
        <f t="shared" si="21"/>
        <v>1825588.6084412152</v>
      </c>
      <c r="M116" s="488"/>
      <c r="N116" s="478">
        <v>280</v>
      </c>
      <c r="O116" s="389" t="s">
        <v>900</v>
      </c>
      <c r="P116" s="471">
        <v>3</v>
      </c>
      <c r="Q116" s="472" t="s">
        <v>835</v>
      </c>
      <c r="X116" s="473" t="s">
        <v>157</v>
      </c>
      <c r="Y116" s="474">
        <v>21</v>
      </c>
      <c r="Z116" s="475">
        <v>5312603.89</v>
      </c>
      <c r="AA116" s="476">
        <f t="shared" si="22"/>
        <v>25298113.761904757</v>
      </c>
      <c r="AB116" s="475">
        <v>853795.137710386</v>
      </c>
      <c r="AE116" s="489">
        <v>280</v>
      </c>
      <c r="AF116">
        <f t="shared" si="23"/>
        <v>0</v>
      </c>
      <c r="AH116" s="477">
        <v>5378.285632789141</v>
      </c>
      <c r="AI116">
        <f t="shared" si="24"/>
        <v>5378285.6327891415</v>
      </c>
      <c r="AJ116" s="490">
        <v>855.0944999999999</v>
      </c>
      <c r="AK116">
        <f t="shared" si="25"/>
        <v>855094.4999999999</v>
      </c>
    </row>
    <row r="117" spans="1:37" ht="15" customHeight="1">
      <c r="A117" s="453" t="s">
        <v>901</v>
      </c>
      <c r="B117" s="467">
        <v>2359</v>
      </c>
      <c r="C117" s="468">
        <f t="shared" si="13"/>
        <v>5945459.214564103</v>
      </c>
      <c r="D117" s="468">
        <f t="shared" si="14"/>
        <v>612960.8513630456</v>
      </c>
      <c r="E117" s="468">
        <v>0</v>
      </c>
      <c r="F117" s="468">
        <f t="shared" si="15"/>
        <v>6558420.065927148</v>
      </c>
      <c r="G117" s="469">
        <f t="shared" si="16"/>
        <v>2780.1695913213853</v>
      </c>
      <c r="H117" s="460">
        <f t="shared" si="17"/>
        <v>1006.9504086786146</v>
      </c>
      <c r="I117" s="380">
        <f t="shared" si="18"/>
      </c>
      <c r="J117" s="380">
        <f t="shared" si="19"/>
      </c>
      <c r="K117" s="461">
        <f t="shared" si="20"/>
        <v>805.5603269428917</v>
      </c>
      <c r="L117" s="488">
        <f t="shared" si="21"/>
        <v>1900316.8112582816</v>
      </c>
      <c r="M117" s="488"/>
      <c r="N117" s="478">
        <v>284</v>
      </c>
      <c r="O117" s="389" t="s">
        <v>901</v>
      </c>
      <c r="P117" s="471">
        <v>0</v>
      </c>
      <c r="Q117" s="472" t="s">
        <v>764</v>
      </c>
      <c r="S117" s="1"/>
      <c r="T117" s="1"/>
      <c r="U117" s="1"/>
      <c r="X117" s="473" t="s">
        <v>158</v>
      </c>
      <c r="Y117" s="474">
        <v>19.5</v>
      </c>
      <c r="Z117" s="475">
        <v>5840627.44</v>
      </c>
      <c r="AA117" s="476">
        <f t="shared" si="22"/>
        <v>29951935.589743588</v>
      </c>
      <c r="AB117" s="475">
        <v>612960.8513630456</v>
      </c>
      <c r="AC117" s="1"/>
      <c r="AE117" s="489">
        <v>284</v>
      </c>
      <c r="AF117">
        <f t="shared" si="23"/>
        <v>0</v>
      </c>
      <c r="AH117" s="477">
        <v>5826.595951893457</v>
      </c>
      <c r="AI117">
        <f t="shared" si="24"/>
        <v>5826595.951893457</v>
      </c>
      <c r="AJ117" s="490">
        <v>613.893696</v>
      </c>
      <c r="AK117">
        <f t="shared" si="25"/>
        <v>613893.696</v>
      </c>
    </row>
    <row r="118" spans="1:37" ht="15" customHeight="1">
      <c r="A118" s="453" t="s">
        <v>902</v>
      </c>
      <c r="B118" s="467">
        <v>53539</v>
      </c>
      <c r="C118" s="468">
        <f t="shared" si="13"/>
        <v>177175612.94297677</v>
      </c>
      <c r="D118" s="468">
        <f t="shared" si="14"/>
        <v>9683495.871217849</v>
      </c>
      <c r="E118" s="468">
        <v>0</v>
      </c>
      <c r="F118" s="468">
        <f t="shared" si="15"/>
        <v>186859108.81419462</v>
      </c>
      <c r="G118" s="469">
        <f t="shared" si="16"/>
        <v>3490.14940163609</v>
      </c>
      <c r="H118" s="460">
        <f t="shared" si="17"/>
        <v>296.9705983639101</v>
      </c>
      <c r="I118" s="380">
        <f t="shared" si="18"/>
      </c>
      <c r="J118" s="380">
        <f t="shared" si="19"/>
      </c>
      <c r="K118" s="461">
        <f t="shared" si="20"/>
        <v>237.57647869112807</v>
      </c>
      <c r="L118" s="488">
        <f t="shared" si="21"/>
        <v>12719607.092644306</v>
      </c>
      <c r="M118" s="488"/>
      <c r="N118" s="478">
        <v>285</v>
      </c>
      <c r="O118" s="389" t="s">
        <v>902</v>
      </c>
      <c r="P118" s="471">
        <v>0</v>
      </c>
      <c r="Q118" s="472" t="s">
        <v>788</v>
      </c>
      <c r="X118" s="473" t="s">
        <v>159</v>
      </c>
      <c r="Y118" s="474">
        <v>21.5</v>
      </c>
      <c r="Z118" s="475">
        <v>191903056.84</v>
      </c>
      <c r="AA118" s="476">
        <f t="shared" si="22"/>
        <v>892572357.3953488</v>
      </c>
      <c r="AB118" s="475">
        <v>9683495.871217849</v>
      </c>
      <c r="AE118" s="489">
        <v>285</v>
      </c>
      <c r="AF118">
        <f t="shared" si="23"/>
        <v>0</v>
      </c>
      <c r="AH118" s="477">
        <v>192633.1620321079</v>
      </c>
      <c r="AI118">
        <f t="shared" si="24"/>
        <v>192633162.03210792</v>
      </c>
      <c r="AJ118" s="490">
        <v>9698.23286</v>
      </c>
      <c r="AK118">
        <f t="shared" si="25"/>
        <v>9698232.86</v>
      </c>
    </row>
    <row r="119" spans="1:37" ht="15" customHeight="1">
      <c r="A119" s="466" t="s">
        <v>903</v>
      </c>
      <c r="B119" s="467">
        <v>84196</v>
      </c>
      <c r="C119" s="468">
        <f t="shared" si="13"/>
        <v>274040968.4259759</v>
      </c>
      <c r="D119" s="468">
        <f t="shared" si="14"/>
        <v>20524930.074781433</v>
      </c>
      <c r="E119" s="468">
        <v>0</v>
      </c>
      <c r="F119" s="468">
        <f t="shared" si="15"/>
        <v>294565898.50075734</v>
      </c>
      <c r="G119" s="469">
        <f t="shared" si="16"/>
        <v>3498.5735486336325</v>
      </c>
      <c r="H119" s="460">
        <f t="shared" si="17"/>
        <v>288.54645136636736</v>
      </c>
      <c r="I119" s="380">
        <f t="shared" si="18"/>
      </c>
      <c r="J119" s="380">
        <f t="shared" si="19"/>
      </c>
      <c r="K119" s="461">
        <f t="shared" si="20"/>
        <v>230.8371610930939</v>
      </c>
      <c r="L119" s="488">
        <f t="shared" si="21"/>
        <v>19435565.615394134</v>
      </c>
      <c r="M119" s="488"/>
      <c r="N119" s="470">
        <v>286</v>
      </c>
      <c r="O119" s="389" t="s">
        <v>903</v>
      </c>
      <c r="P119" s="471">
        <v>0</v>
      </c>
      <c r="Q119" s="472" t="s">
        <v>788</v>
      </c>
      <c r="X119" s="473" t="s">
        <v>160</v>
      </c>
      <c r="Y119" s="474">
        <v>20.75</v>
      </c>
      <c r="Z119" s="475">
        <v>286465999.74</v>
      </c>
      <c r="AA119" s="476">
        <f t="shared" si="22"/>
        <v>1380559034.8915663</v>
      </c>
      <c r="AB119" s="475">
        <v>20524930.074781433</v>
      </c>
      <c r="AE119" s="489">
        <v>286</v>
      </c>
      <c r="AF119">
        <f t="shared" si="23"/>
        <v>0</v>
      </c>
      <c r="AH119" s="477">
        <v>287745.1544610491</v>
      </c>
      <c r="AI119">
        <f t="shared" si="24"/>
        <v>287745154.46104914</v>
      </c>
      <c r="AJ119" s="490">
        <v>20556.166279999998</v>
      </c>
      <c r="AK119">
        <f t="shared" si="25"/>
        <v>20556166.279999997</v>
      </c>
    </row>
    <row r="120" spans="1:37" ht="15" customHeight="1">
      <c r="A120" s="453" t="s">
        <v>904</v>
      </c>
      <c r="B120" s="467">
        <v>6638</v>
      </c>
      <c r="C120" s="468">
        <f t="shared" si="13"/>
        <v>18551629.309604652</v>
      </c>
      <c r="D120" s="468">
        <f t="shared" si="14"/>
        <v>1418101.750333537</v>
      </c>
      <c r="E120" s="468">
        <v>0</v>
      </c>
      <c r="F120" s="468">
        <f t="shared" si="15"/>
        <v>19969731.05993819</v>
      </c>
      <c r="G120" s="469">
        <f t="shared" si="16"/>
        <v>3008.395760762005</v>
      </c>
      <c r="H120" s="460">
        <f t="shared" si="17"/>
        <v>778.7242392379949</v>
      </c>
      <c r="I120" s="380">
        <f t="shared" si="18"/>
      </c>
      <c r="J120" s="380">
        <f t="shared" si="19"/>
      </c>
      <c r="K120" s="461">
        <f t="shared" si="20"/>
        <v>622.9793913903959</v>
      </c>
      <c r="L120" s="488">
        <f t="shared" si="21"/>
        <v>4135337.200049448</v>
      </c>
      <c r="M120" s="488"/>
      <c r="N120" s="478">
        <v>287</v>
      </c>
      <c r="O120" s="479" t="s">
        <v>905</v>
      </c>
      <c r="P120" s="471">
        <v>3</v>
      </c>
      <c r="Q120" s="472" t="s">
        <v>835</v>
      </c>
      <c r="X120" s="473" t="s">
        <v>161</v>
      </c>
      <c r="Y120" s="474">
        <v>21.5</v>
      </c>
      <c r="Z120" s="475">
        <v>20093704.29</v>
      </c>
      <c r="AA120" s="476">
        <f t="shared" si="22"/>
        <v>93459089.72093023</v>
      </c>
      <c r="AB120" s="475">
        <v>1418101.750333537</v>
      </c>
      <c r="AE120" s="489">
        <v>287</v>
      </c>
      <c r="AF120">
        <f t="shared" si="23"/>
        <v>0</v>
      </c>
      <c r="AH120" s="477">
        <v>19948.98785234351</v>
      </c>
      <c r="AI120">
        <f t="shared" si="24"/>
        <v>19948987.85234351</v>
      </c>
      <c r="AJ120" s="490">
        <v>1420.259912</v>
      </c>
      <c r="AK120">
        <f t="shared" si="25"/>
        <v>1420259.912</v>
      </c>
    </row>
    <row r="121" spans="1:37" ht="15" customHeight="1">
      <c r="A121" s="453" t="s">
        <v>906</v>
      </c>
      <c r="B121" s="467">
        <v>6531</v>
      </c>
      <c r="C121" s="468">
        <f t="shared" si="13"/>
        <v>17823502.781000003</v>
      </c>
      <c r="D121" s="468">
        <f t="shared" si="14"/>
        <v>2340999.5989373545</v>
      </c>
      <c r="E121" s="468">
        <v>0</v>
      </c>
      <c r="F121" s="468">
        <f t="shared" si="15"/>
        <v>20164502.37993736</v>
      </c>
      <c r="G121" s="469">
        <f t="shared" si="16"/>
        <v>3087.5061062528493</v>
      </c>
      <c r="H121" s="460">
        <f t="shared" si="17"/>
        <v>699.6138937471505</v>
      </c>
      <c r="I121" s="380">
        <f t="shared" si="18"/>
      </c>
      <c r="J121" s="380">
        <f t="shared" si="19"/>
      </c>
      <c r="K121" s="461">
        <f t="shared" si="20"/>
        <v>559.6911149977204</v>
      </c>
      <c r="L121" s="488">
        <f t="shared" si="21"/>
        <v>3655342.672050112</v>
      </c>
      <c r="M121" s="488"/>
      <c r="N121" s="478">
        <v>288</v>
      </c>
      <c r="O121" s="479" t="s">
        <v>907</v>
      </c>
      <c r="P121" s="471">
        <v>3</v>
      </c>
      <c r="Q121" s="472" t="s">
        <v>835</v>
      </c>
      <c r="X121" s="473" t="s">
        <v>162</v>
      </c>
      <c r="Y121" s="474">
        <v>22</v>
      </c>
      <c r="Z121" s="475">
        <v>19754008.12</v>
      </c>
      <c r="AA121" s="476">
        <f t="shared" si="22"/>
        <v>89790946</v>
      </c>
      <c r="AB121" s="475">
        <v>2340999.5989373545</v>
      </c>
      <c r="AE121" s="489">
        <v>288</v>
      </c>
      <c r="AF121">
        <f t="shared" si="23"/>
        <v>0</v>
      </c>
      <c r="AH121" s="477">
        <v>19756.514796861076</v>
      </c>
      <c r="AI121">
        <f t="shared" si="24"/>
        <v>19756514.796861075</v>
      </c>
      <c r="AJ121" s="490">
        <v>2344.562288</v>
      </c>
      <c r="AK121">
        <f t="shared" si="25"/>
        <v>2344562.288</v>
      </c>
    </row>
    <row r="122" spans="1:37" ht="15" customHeight="1">
      <c r="A122" s="453" t="s">
        <v>908</v>
      </c>
      <c r="B122" s="467">
        <v>8499</v>
      </c>
      <c r="C122" s="468">
        <f t="shared" si="13"/>
        <v>21485521.70323256</v>
      </c>
      <c r="D122" s="468">
        <f t="shared" si="14"/>
        <v>2885849.058751185</v>
      </c>
      <c r="E122" s="468">
        <v>0</v>
      </c>
      <c r="F122" s="468">
        <f t="shared" si="15"/>
        <v>24371370.761983745</v>
      </c>
      <c r="G122" s="469">
        <f t="shared" si="16"/>
        <v>2867.5574493450695</v>
      </c>
      <c r="H122" s="460">
        <f t="shared" si="17"/>
        <v>919.5625506549304</v>
      </c>
      <c r="I122" s="380">
        <f t="shared" si="18"/>
      </c>
      <c r="J122" s="380">
        <f t="shared" si="19"/>
      </c>
      <c r="K122" s="461">
        <f t="shared" si="20"/>
        <v>735.6500405239444</v>
      </c>
      <c r="L122" s="488">
        <f t="shared" si="21"/>
        <v>6252289.6944130035</v>
      </c>
      <c r="M122" s="488"/>
      <c r="N122" s="478">
        <v>290</v>
      </c>
      <c r="O122" s="389" t="s">
        <v>908</v>
      </c>
      <c r="P122" s="471">
        <v>0</v>
      </c>
      <c r="Q122" s="472" t="s">
        <v>808</v>
      </c>
      <c r="X122" s="473" t="s">
        <v>163</v>
      </c>
      <c r="Y122" s="474">
        <v>21.5</v>
      </c>
      <c r="Z122" s="475">
        <v>23271471.87</v>
      </c>
      <c r="AA122" s="476">
        <f t="shared" si="22"/>
        <v>108239404.04651164</v>
      </c>
      <c r="AB122" s="475">
        <v>2885849.058751185</v>
      </c>
      <c r="AE122" s="489">
        <v>290</v>
      </c>
      <c r="AF122">
        <f t="shared" si="23"/>
        <v>0</v>
      </c>
      <c r="AH122" s="477">
        <v>23267.276109886476</v>
      </c>
      <c r="AI122">
        <f t="shared" si="24"/>
        <v>23267276.109886475</v>
      </c>
      <c r="AJ122" s="490">
        <v>2890.240936</v>
      </c>
      <c r="AK122">
        <f t="shared" si="25"/>
        <v>2890240.936</v>
      </c>
    </row>
    <row r="123" spans="1:37" ht="15" customHeight="1">
      <c r="A123" s="453" t="s">
        <v>909</v>
      </c>
      <c r="B123" s="467">
        <v>2252</v>
      </c>
      <c r="C123" s="468">
        <f t="shared" si="13"/>
        <v>5423918.855831325</v>
      </c>
      <c r="D123" s="468">
        <f t="shared" si="14"/>
        <v>1028823.7275482771</v>
      </c>
      <c r="E123" s="468">
        <v>0</v>
      </c>
      <c r="F123" s="468">
        <f t="shared" si="15"/>
        <v>6452742.583379602</v>
      </c>
      <c r="G123" s="469">
        <f t="shared" si="16"/>
        <v>2865.3386249465375</v>
      </c>
      <c r="H123" s="460">
        <f t="shared" si="17"/>
        <v>921.7813750534624</v>
      </c>
      <c r="I123" s="380">
        <f t="shared" si="18"/>
      </c>
      <c r="J123" s="380">
        <f t="shared" si="19"/>
      </c>
      <c r="K123" s="461">
        <f t="shared" si="20"/>
        <v>737.4251000427699</v>
      </c>
      <c r="L123" s="488">
        <f t="shared" si="21"/>
        <v>1660681.325296318</v>
      </c>
      <c r="M123" s="488"/>
      <c r="N123" s="478">
        <v>291</v>
      </c>
      <c r="O123" s="389" t="s">
        <v>909</v>
      </c>
      <c r="P123" s="471">
        <v>0</v>
      </c>
      <c r="Q123" s="472" t="s">
        <v>790</v>
      </c>
      <c r="X123" s="473" t="s">
        <v>164</v>
      </c>
      <c r="Y123" s="474">
        <v>20.75</v>
      </c>
      <c r="Z123" s="475">
        <v>5669839.61</v>
      </c>
      <c r="AA123" s="476">
        <f t="shared" si="22"/>
        <v>27324528.240963854</v>
      </c>
      <c r="AB123" s="475">
        <v>1028823.7275482771</v>
      </c>
      <c r="AE123" s="489">
        <v>291</v>
      </c>
      <c r="AF123">
        <f t="shared" si="23"/>
        <v>0</v>
      </c>
      <c r="AH123" s="477">
        <v>5748.2565852482085</v>
      </c>
      <c r="AI123">
        <f t="shared" si="24"/>
        <v>5748256.585248209</v>
      </c>
      <c r="AJ123" s="490">
        <v>1030.38946</v>
      </c>
      <c r="AK123">
        <f t="shared" si="25"/>
        <v>1030389.4600000001</v>
      </c>
    </row>
    <row r="124" spans="1:37" ht="15" customHeight="1">
      <c r="A124" s="453" t="s">
        <v>910</v>
      </c>
      <c r="B124" s="467">
        <v>118209</v>
      </c>
      <c r="C124" s="468">
        <f t="shared" si="13"/>
        <v>378119638.4160976</v>
      </c>
      <c r="D124" s="468">
        <f t="shared" si="14"/>
        <v>24347911.171599146</v>
      </c>
      <c r="E124" s="468">
        <v>0</v>
      </c>
      <c r="F124" s="468">
        <f t="shared" si="15"/>
        <v>402467549.58769673</v>
      </c>
      <c r="G124" s="469">
        <f t="shared" si="16"/>
        <v>3404.7115666970935</v>
      </c>
      <c r="H124" s="460">
        <f t="shared" si="17"/>
        <v>382.40843330290636</v>
      </c>
      <c r="I124" s="380">
        <f t="shared" si="18"/>
      </c>
      <c r="J124" s="380">
        <f t="shared" si="19"/>
      </c>
      <c r="K124" s="461">
        <f t="shared" si="20"/>
        <v>305.9267466423251</v>
      </c>
      <c r="L124" s="488">
        <f t="shared" si="21"/>
        <v>36163294.793842606</v>
      </c>
      <c r="M124" s="488"/>
      <c r="N124" s="478">
        <v>297</v>
      </c>
      <c r="O124" s="389" t="s">
        <v>910</v>
      </c>
      <c r="P124" s="471">
        <v>0</v>
      </c>
      <c r="Q124" s="472" t="s">
        <v>819</v>
      </c>
      <c r="X124" s="473" t="s">
        <v>165</v>
      </c>
      <c r="Y124" s="474">
        <v>20.5</v>
      </c>
      <c r="Z124" s="475">
        <v>390501389.8</v>
      </c>
      <c r="AA124" s="476">
        <f t="shared" si="22"/>
        <v>1904884828.292683</v>
      </c>
      <c r="AB124" s="475">
        <v>24347911.171599146</v>
      </c>
      <c r="AC124" s="475"/>
      <c r="AE124" s="489">
        <v>297</v>
      </c>
      <c r="AF124">
        <f t="shared" si="23"/>
        <v>0</v>
      </c>
      <c r="AH124" s="477">
        <v>389427.70678785647</v>
      </c>
      <c r="AI124">
        <f t="shared" si="24"/>
        <v>389427706.78785646</v>
      </c>
      <c r="AJ124" s="490">
        <v>24384.965444</v>
      </c>
      <c r="AK124">
        <f t="shared" si="25"/>
        <v>24384965.444000002</v>
      </c>
    </row>
    <row r="125" spans="1:37" ht="15" customHeight="1">
      <c r="A125" s="453" t="s">
        <v>911</v>
      </c>
      <c r="B125" s="467">
        <v>3637</v>
      </c>
      <c r="C125" s="468">
        <f t="shared" si="13"/>
        <v>9002492.139761906</v>
      </c>
      <c r="D125" s="468">
        <f t="shared" si="14"/>
        <v>720521.5343538559</v>
      </c>
      <c r="E125" s="468">
        <v>0</v>
      </c>
      <c r="F125" s="468">
        <f t="shared" si="15"/>
        <v>9723013.674115762</v>
      </c>
      <c r="G125" s="469">
        <f t="shared" si="16"/>
        <v>2673.360922220446</v>
      </c>
      <c r="H125" s="460">
        <f t="shared" si="17"/>
        <v>1113.759077779554</v>
      </c>
      <c r="I125" s="380">
        <f t="shared" si="18"/>
      </c>
      <c r="J125" s="380">
        <f t="shared" si="19"/>
      </c>
      <c r="K125" s="461">
        <f t="shared" si="20"/>
        <v>891.0072622236432</v>
      </c>
      <c r="L125" s="488">
        <f t="shared" si="21"/>
        <v>3240593.4127073903</v>
      </c>
      <c r="M125" s="488"/>
      <c r="N125" s="478">
        <v>300</v>
      </c>
      <c r="O125" s="389" t="s">
        <v>911</v>
      </c>
      <c r="P125" s="471">
        <v>0</v>
      </c>
      <c r="Q125" s="472" t="s">
        <v>755</v>
      </c>
      <c r="X125" s="473" t="s">
        <v>166</v>
      </c>
      <c r="Y125" s="474">
        <v>21</v>
      </c>
      <c r="Z125" s="475">
        <v>9524047.1</v>
      </c>
      <c r="AA125" s="476">
        <f t="shared" si="22"/>
        <v>45352605.23809524</v>
      </c>
      <c r="AB125" s="475">
        <v>720521.5343538559</v>
      </c>
      <c r="AE125" s="489">
        <v>300</v>
      </c>
      <c r="AF125">
        <f t="shared" si="23"/>
        <v>0</v>
      </c>
      <c r="AH125" s="477">
        <v>9450.571501810762</v>
      </c>
      <c r="AI125">
        <f t="shared" si="24"/>
        <v>9450571.501810763</v>
      </c>
      <c r="AJ125" s="490">
        <v>721.618072</v>
      </c>
      <c r="AK125">
        <f t="shared" si="25"/>
        <v>721618.0719999999</v>
      </c>
    </row>
    <row r="126" spans="1:37" ht="15" customHeight="1">
      <c r="A126" s="466" t="s">
        <v>912</v>
      </c>
      <c r="B126" s="467">
        <v>21203</v>
      </c>
      <c r="C126" s="468">
        <f t="shared" si="13"/>
        <v>53753665.73838095</v>
      </c>
      <c r="D126" s="468">
        <f t="shared" si="14"/>
        <v>4044514.0332445186</v>
      </c>
      <c r="E126" s="468">
        <v>0</v>
      </c>
      <c r="F126" s="468">
        <f t="shared" si="15"/>
        <v>57798179.771625474</v>
      </c>
      <c r="G126" s="469">
        <f t="shared" si="16"/>
        <v>2725.943487790665</v>
      </c>
      <c r="H126" s="460">
        <f t="shared" si="17"/>
        <v>1061.1765122093348</v>
      </c>
      <c r="I126" s="380">
        <f t="shared" si="18"/>
      </c>
      <c r="J126" s="380">
        <f t="shared" si="19"/>
      </c>
      <c r="K126" s="461">
        <f t="shared" si="20"/>
        <v>848.9412097674679</v>
      </c>
      <c r="L126" s="488">
        <f t="shared" si="21"/>
        <v>18000100.47069962</v>
      </c>
      <c r="M126" s="488"/>
      <c r="N126" s="470">
        <v>301</v>
      </c>
      <c r="O126" s="389" t="s">
        <v>912</v>
      </c>
      <c r="P126" s="471">
        <v>0</v>
      </c>
      <c r="Q126" s="472" t="s">
        <v>755</v>
      </c>
      <c r="U126" s="53"/>
      <c r="X126" s="473" t="s">
        <v>167</v>
      </c>
      <c r="Y126" s="474">
        <v>21</v>
      </c>
      <c r="Z126" s="475">
        <v>56867857.96</v>
      </c>
      <c r="AA126" s="476">
        <f t="shared" si="22"/>
        <v>270799323.61904764</v>
      </c>
      <c r="AB126" s="475">
        <v>4044514.0332445186</v>
      </c>
      <c r="AD126" s="1"/>
      <c r="AE126" s="489">
        <v>301</v>
      </c>
      <c r="AF126">
        <f t="shared" si="23"/>
        <v>0</v>
      </c>
      <c r="AG126" s="1"/>
      <c r="AH126" s="477">
        <v>56423.92944760065</v>
      </c>
      <c r="AI126">
        <f t="shared" si="24"/>
        <v>56423929.44760065</v>
      </c>
      <c r="AJ126" s="490">
        <v>4050.6692439999997</v>
      </c>
      <c r="AK126">
        <f t="shared" si="25"/>
        <v>4050669.2439999995</v>
      </c>
    </row>
    <row r="127" spans="1:37" ht="15" customHeight="1">
      <c r="A127" s="453" t="s">
        <v>913</v>
      </c>
      <c r="B127" s="467">
        <v>923</v>
      </c>
      <c r="C127" s="468">
        <f t="shared" si="13"/>
        <v>2975315.5472000004</v>
      </c>
      <c r="D127" s="468">
        <f t="shared" si="14"/>
        <v>230009.92757724517</v>
      </c>
      <c r="E127" s="468">
        <v>0</v>
      </c>
      <c r="F127" s="468">
        <f t="shared" si="15"/>
        <v>3205325.4747772454</v>
      </c>
      <c r="G127" s="469">
        <f t="shared" si="16"/>
        <v>3472.725324785748</v>
      </c>
      <c r="H127" s="460">
        <f t="shared" si="17"/>
        <v>314.39467521425195</v>
      </c>
      <c r="I127" s="380">
        <f t="shared" si="18"/>
      </c>
      <c r="J127" s="380">
        <f t="shared" si="19"/>
      </c>
      <c r="K127" s="461">
        <f t="shared" si="20"/>
        <v>251.51574017140157</v>
      </c>
      <c r="L127" s="488">
        <f t="shared" si="21"/>
        <v>232149.02817820365</v>
      </c>
      <c r="M127" s="488"/>
      <c r="N127" s="478">
        <v>304</v>
      </c>
      <c r="O127" s="479" t="s">
        <v>914</v>
      </c>
      <c r="P127" s="471">
        <v>0</v>
      </c>
      <c r="Q127" s="472" t="s">
        <v>764</v>
      </c>
      <c r="X127" s="473" t="s">
        <v>168</v>
      </c>
      <c r="Y127" s="474">
        <v>18.75</v>
      </c>
      <c r="Z127" s="475">
        <v>2810436.6</v>
      </c>
      <c r="AA127" s="476">
        <f t="shared" si="22"/>
        <v>14988995.2</v>
      </c>
      <c r="AB127" s="475">
        <v>230009.92757724517</v>
      </c>
      <c r="AE127" s="489">
        <v>304</v>
      </c>
      <c r="AF127">
        <f t="shared" si="23"/>
        <v>0</v>
      </c>
      <c r="AH127" s="477">
        <v>2742.227508263502</v>
      </c>
      <c r="AI127">
        <f t="shared" si="24"/>
        <v>2742227.508263502</v>
      </c>
      <c r="AJ127" s="490">
        <v>230.359972</v>
      </c>
      <c r="AK127">
        <f t="shared" si="25"/>
        <v>230359.972</v>
      </c>
    </row>
    <row r="128" spans="1:37" s="1" customFormat="1" ht="15" customHeight="1">
      <c r="A128" s="453" t="s">
        <v>915</v>
      </c>
      <c r="B128" s="467">
        <v>15386</v>
      </c>
      <c r="C128" s="468">
        <f t="shared" si="13"/>
        <v>40911731.250675</v>
      </c>
      <c r="D128" s="468">
        <f t="shared" si="14"/>
        <v>3892670.602687475</v>
      </c>
      <c r="E128" s="468">
        <v>0</v>
      </c>
      <c r="F128" s="468">
        <f t="shared" si="15"/>
        <v>44804401.85336248</v>
      </c>
      <c r="G128" s="469">
        <f t="shared" si="16"/>
        <v>2912.0240383051137</v>
      </c>
      <c r="H128" s="460">
        <f t="shared" si="17"/>
        <v>875.0959616948862</v>
      </c>
      <c r="I128" s="380">
        <f t="shared" si="18"/>
      </c>
      <c r="J128" s="380">
        <f t="shared" si="19"/>
      </c>
      <c r="K128" s="461">
        <f t="shared" si="20"/>
        <v>700.076769355909</v>
      </c>
      <c r="L128" s="488">
        <f t="shared" si="21"/>
        <v>10771381.173310017</v>
      </c>
      <c r="M128" s="488"/>
      <c r="N128" s="478">
        <v>305</v>
      </c>
      <c r="O128" s="389" t="s">
        <v>915</v>
      </c>
      <c r="P128" s="471">
        <v>0</v>
      </c>
      <c r="Q128" s="472" t="s">
        <v>757</v>
      </c>
      <c r="R128"/>
      <c r="S128"/>
      <c r="T128"/>
      <c r="U128"/>
      <c r="V128"/>
      <c r="W128"/>
      <c r="X128" s="473" t="s">
        <v>169</v>
      </c>
      <c r="Y128" s="474">
        <v>20</v>
      </c>
      <c r="Z128" s="475">
        <v>41220887.91</v>
      </c>
      <c r="AA128" s="476">
        <f t="shared" si="22"/>
        <v>206104439.54999998</v>
      </c>
      <c r="AB128" s="475">
        <v>3892670.602687475</v>
      </c>
      <c r="AC128"/>
      <c r="AD128"/>
      <c r="AE128" s="489">
        <v>305</v>
      </c>
      <c r="AF128">
        <f t="shared" si="23"/>
        <v>0</v>
      </c>
      <c r="AG128"/>
      <c r="AH128" s="477">
        <v>41245.13279548378</v>
      </c>
      <c r="AI128">
        <f t="shared" si="24"/>
        <v>41245132.79548378</v>
      </c>
      <c r="AJ128" s="490">
        <v>3898.594728</v>
      </c>
      <c r="AK128">
        <f t="shared" si="25"/>
        <v>3898594.728</v>
      </c>
    </row>
    <row r="129" spans="1:37" ht="15" customHeight="1">
      <c r="A129" s="453" t="s">
        <v>916</v>
      </c>
      <c r="B129" s="467">
        <v>7003</v>
      </c>
      <c r="C129" s="468">
        <f t="shared" si="13"/>
        <v>17002738.68832184</v>
      </c>
      <c r="D129" s="468">
        <f t="shared" si="14"/>
        <v>1248420.20301032</v>
      </c>
      <c r="E129" s="468">
        <v>0</v>
      </c>
      <c r="F129" s="468">
        <f t="shared" si="15"/>
        <v>18251158.89133216</v>
      </c>
      <c r="G129" s="469">
        <f t="shared" si="16"/>
        <v>2606.191473844375</v>
      </c>
      <c r="H129" s="460">
        <f t="shared" si="17"/>
        <v>1180.9285261556247</v>
      </c>
      <c r="I129" s="380">
        <f t="shared" si="18"/>
      </c>
      <c r="J129" s="380">
        <f t="shared" si="19"/>
      </c>
      <c r="K129" s="461">
        <f t="shared" si="20"/>
        <v>944.7428209244998</v>
      </c>
      <c r="L129" s="488">
        <f t="shared" si="21"/>
        <v>6616033.9749342725</v>
      </c>
      <c r="M129" s="488"/>
      <c r="N129" s="478">
        <v>309</v>
      </c>
      <c r="O129" s="389" t="s">
        <v>916</v>
      </c>
      <c r="P129" s="471">
        <v>0</v>
      </c>
      <c r="Q129" s="472" t="s">
        <v>826</v>
      </c>
      <c r="X129" s="473" t="s">
        <v>228</v>
      </c>
      <c r="Y129" s="474">
        <v>21.75</v>
      </c>
      <c r="Z129" s="475">
        <v>18630204.86</v>
      </c>
      <c r="AA129" s="476">
        <f t="shared" si="22"/>
        <v>85656114.29885058</v>
      </c>
      <c r="AB129" s="475">
        <v>1248420.20301032</v>
      </c>
      <c r="AD129" s="1"/>
      <c r="AE129" s="489">
        <v>309</v>
      </c>
      <c r="AF129">
        <f t="shared" si="23"/>
        <v>0</v>
      </c>
      <c r="AG129" s="1"/>
      <c r="AH129" s="477">
        <v>18792.024426094333</v>
      </c>
      <c r="AI129">
        <f t="shared" si="24"/>
        <v>18792024.426094335</v>
      </c>
      <c r="AJ129" s="490">
        <v>1250.3201319999998</v>
      </c>
      <c r="AK129">
        <f t="shared" si="25"/>
        <v>1250320.1319999998</v>
      </c>
    </row>
    <row r="130" spans="1:37" ht="15" customHeight="1">
      <c r="A130" s="453" t="s">
        <v>917</v>
      </c>
      <c r="B130" s="467">
        <v>1352</v>
      </c>
      <c r="C130" s="468">
        <f t="shared" si="13"/>
        <v>3067023.673402299</v>
      </c>
      <c r="D130" s="468">
        <f t="shared" si="14"/>
        <v>616437.320640622</v>
      </c>
      <c r="E130" s="468">
        <v>0</v>
      </c>
      <c r="F130" s="468">
        <f t="shared" si="15"/>
        <v>3683460.9940429213</v>
      </c>
      <c r="G130" s="469">
        <f t="shared" si="16"/>
        <v>2724.453397960741</v>
      </c>
      <c r="H130" s="460">
        <f t="shared" si="17"/>
        <v>1062.666602039259</v>
      </c>
      <c r="I130" s="380">
        <f t="shared" si="18"/>
      </c>
      <c r="J130" s="380">
        <f t="shared" si="19"/>
      </c>
      <c r="K130" s="461">
        <f t="shared" si="20"/>
        <v>850.1332816314073</v>
      </c>
      <c r="L130" s="488">
        <f t="shared" si="21"/>
        <v>1149380.1967656626</v>
      </c>
      <c r="M130" s="488"/>
      <c r="N130" s="478">
        <v>312</v>
      </c>
      <c r="O130" s="389" t="s">
        <v>917</v>
      </c>
      <c r="P130" s="471">
        <v>0</v>
      </c>
      <c r="Q130" s="472" t="s">
        <v>790</v>
      </c>
      <c r="X130" s="473" t="s">
        <v>170</v>
      </c>
      <c r="Y130" s="474">
        <v>21.75</v>
      </c>
      <c r="Z130" s="475">
        <v>3360592.69</v>
      </c>
      <c r="AA130" s="476">
        <f t="shared" si="22"/>
        <v>15451000.873563219</v>
      </c>
      <c r="AB130" s="475">
        <v>616437.320640622</v>
      </c>
      <c r="AD130" s="1"/>
      <c r="AE130" s="489">
        <v>312</v>
      </c>
      <c r="AF130">
        <f t="shared" si="23"/>
        <v>0</v>
      </c>
      <c r="AG130" s="1"/>
      <c r="AH130" s="477">
        <v>3427.8704458927573</v>
      </c>
      <c r="AI130">
        <f t="shared" si="24"/>
        <v>3427870.4458927573</v>
      </c>
      <c r="AJ130" s="490">
        <v>617.375456</v>
      </c>
      <c r="AK130">
        <f t="shared" si="25"/>
        <v>617375.456</v>
      </c>
    </row>
    <row r="131" spans="1:37" s="1" customFormat="1" ht="15" customHeight="1">
      <c r="A131" s="453" t="s">
        <v>918</v>
      </c>
      <c r="B131" s="467">
        <v>4508</v>
      </c>
      <c r="C131" s="468">
        <f t="shared" si="13"/>
        <v>12907481.355218392</v>
      </c>
      <c r="D131" s="468">
        <f t="shared" si="14"/>
        <v>606886.0404148315</v>
      </c>
      <c r="E131" s="468">
        <v>0</v>
      </c>
      <c r="F131" s="468">
        <f t="shared" si="15"/>
        <v>13514367.395633223</v>
      </c>
      <c r="G131" s="469">
        <f t="shared" si="16"/>
        <v>2997.8632199718772</v>
      </c>
      <c r="H131" s="460">
        <f t="shared" si="17"/>
        <v>789.2567800281226</v>
      </c>
      <c r="I131" s="380">
        <f t="shared" si="18"/>
      </c>
      <c r="J131" s="380">
        <f t="shared" si="19"/>
      </c>
      <c r="K131" s="461">
        <f t="shared" si="20"/>
        <v>631.4054240224982</v>
      </c>
      <c r="L131" s="488">
        <f t="shared" si="21"/>
        <v>2846375.6514934218</v>
      </c>
      <c r="M131" s="488"/>
      <c r="N131" s="478">
        <v>316</v>
      </c>
      <c r="O131" s="389" t="s">
        <v>918</v>
      </c>
      <c r="P131" s="471">
        <v>0</v>
      </c>
      <c r="Q131" s="472" t="s">
        <v>760</v>
      </c>
      <c r="R131"/>
      <c r="S131"/>
      <c r="T131"/>
      <c r="U131"/>
      <c r="V131"/>
      <c r="W131"/>
      <c r="X131" s="473" t="s">
        <v>171</v>
      </c>
      <c r="Y131" s="474">
        <v>21.75</v>
      </c>
      <c r="Z131" s="475">
        <v>14142958.16</v>
      </c>
      <c r="AA131" s="476">
        <f t="shared" si="22"/>
        <v>65025094.98850574</v>
      </c>
      <c r="AB131" s="475">
        <v>606886.0404148315</v>
      </c>
      <c r="AC131"/>
      <c r="AD131"/>
      <c r="AE131" s="489">
        <v>316</v>
      </c>
      <c r="AF131">
        <f t="shared" si="23"/>
        <v>0</v>
      </c>
      <c r="AG131"/>
      <c r="AH131" s="477">
        <v>14163.62464323792</v>
      </c>
      <c r="AI131">
        <f t="shared" si="24"/>
        <v>14163624.643237919</v>
      </c>
      <c r="AJ131" s="490">
        <v>607.80964</v>
      </c>
      <c r="AK131">
        <f t="shared" si="25"/>
        <v>607809.6399999999</v>
      </c>
    </row>
    <row r="132" spans="1:37" ht="15" customHeight="1">
      <c r="A132" s="453" t="s">
        <v>919</v>
      </c>
      <c r="B132" s="467">
        <v>2611</v>
      </c>
      <c r="C132" s="468">
        <f t="shared" si="13"/>
        <v>5594341.426162791</v>
      </c>
      <c r="D132" s="468">
        <f t="shared" si="14"/>
        <v>591149.3855040832</v>
      </c>
      <c r="E132" s="468">
        <v>0</v>
      </c>
      <c r="F132" s="468">
        <f t="shared" si="15"/>
        <v>6185490.811666874</v>
      </c>
      <c r="G132" s="469">
        <f t="shared" si="16"/>
        <v>2369.0121837100246</v>
      </c>
      <c r="H132" s="460">
        <f t="shared" si="17"/>
        <v>1418.1078162899753</v>
      </c>
      <c r="I132" s="380">
        <f t="shared" si="18"/>
      </c>
      <c r="J132" s="380">
        <f t="shared" si="19"/>
      </c>
      <c r="K132" s="461">
        <f t="shared" si="20"/>
        <v>1134.4862530319804</v>
      </c>
      <c r="L132" s="488">
        <f t="shared" si="21"/>
        <v>2962143.6066665007</v>
      </c>
      <c r="M132" s="488"/>
      <c r="N132" s="478">
        <v>317</v>
      </c>
      <c r="O132" s="389" t="s">
        <v>919</v>
      </c>
      <c r="P132" s="471">
        <v>0</v>
      </c>
      <c r="Q132" s="472" t="s">
        <v>757</v>
      </c>
      <c r="X132" s="473" t="s">
        <v>172</v>
      </c>
      <c r="Y132" s="474">
        <v>21.5</v>
      </c>
      <c r="Z132" s="475">
        <v>6059362.25</v>
      </c>
      <c r="AA132" s="476">
        <f t="shared" si="22"/>
        <v>28183080.23255814</v>
      </c>
      <c r="AB132" s="475">
        <v>591149.3855040832</v>
      </c>
      <c r="AE132" s="489">
        <v>317</v>
      </c>
      <c r="AF132">
        <f t="shared" si="23"/>
        <v>0</v>
      </c>
      <c r="AH132" s="477">
        <v>5930.87063427962</v>
      </c>
      <c r="AI132">
        <f t="shared" si="24"/>
        <v>5930870.634279621</v>
      </c>
      <c r="AJ132" s="490">
        <v>592.049036</v>
      </c>
      <c r="AK132">
        <f t="shared" si="25"/>
        <v>592049.036</v>
      </c>
    </row>
    <row r="133" spans="1:37" ht="15" customHeight="1">
      <c r="A133" s="453" t="s">
        <v>920</v>
      </c>
      <c r="B133" s="467">
        <v>7534</v>
      </c>
      <c r="C133" s="468">
        <f t="shared" si="13"/>
        <v>21604425.179</v>
      </c>
      <c r="D133" s="468">
        <f t="shared" si="14"/>
        <v>1259965.9479269446</v>
      </c>
      <c r="E133" s="468">
        <v>0</v>
      </c>
      <c r="F133" s="468">
        <f t="shared" si="15"/>
        <v>22864391.126926947</v>
      </c>
      <c r="G133" s="469">
        <f t="shared" si="16"/>
        <v>3034.827598477163</v>
      </c>
      <c r="H133" s="460">
        <f t="shared" si="17"/>
        <v>752.2924015228368</v>
      </c>
      <c r="I133" s="380">
        <f t="shared" si="18"/>
      </c>
      <c r="J133" s="380">
        <f t="shared" si="19"/>
      </c>
      <c r="K133" s="461">
        <f t="shared" si="20"/>
        <v>601.8339212182694</v>
      </c>
      <c r="L133" s="488">
        <f t="shared" si="21"/>
        <v>4534216.762458442</v>
      </c>
      <c r="M133" s="488"/>
      <c r="N133" s="478">
        <v>320</v>
      </c>
      <c r="O133" s="389" t="s">
        <v>920</v>
      </c>
      <c r="P133" s="471">
        <v>0</v>
      </c>
      <c r="Q133" s="472" t="s">
        <v>770</v>
      </c>
      <c r="S133" s="1"/>
      <c r="T133" s="1"/>
      <c r="U133" s="1"/>
      <c r="X133" s="473" t="s">
        <v>139</v>
      </c>
      <c r="Y133" s="474">
        <v>21.5</v>
      </c>
      <c r="Z133" s="475">
        <v>23400259.01</v>
      </c>
      <c r="AA133" s="476">
        <f t="shared" si="22"/>
        <v>108838414</v>
      </c>
      <c r="AB133" s="475">
        <v>1259965.9479269446</v>
      </c>
      <c r="AC133" s="1"/>
      <c r="AE133" s="489">
        <v>320</v>
      </c>
      <c r="AF133">
        <f t="shared" si="23"/>
        <v>0</v>
      </c>
      <c r="AH133" s="477">
        <v>23718.129143905273</v>
      </c>
      <c r="AI133">
        <f t="shared" si="24"/>
        <v>23718129.143905275</v>
      </c>
      <c r="AJ133" s="490">
        <v>1261.883448</v>
      </c>
      <c r="AK133">
        <f t="shared" si="25"/>
        <v>1261883.448</v>
      </c>
    </row>
    <row r="134" spans="1:37" ht="15" customHeight="1">
      <c r="A134" s="466" t="s">
        <v>141</v>
      </c>
      <c r="B134" s="467">
        <v>6793</v>
      </c>
      <c r="C134" s="468">
        <f t="shared" si="13"/>
        <v>18369919.06286076</v>
      </c>
      <c r="D134" s="468">
        <f t="shared" si="14"/>
        <v>1099312.8964376147</v>
      </c>
      <c r="E134" s="468">
        <v>0</v>
      </c>
      <c r="F134" s="468">
        <f t="shared" si="15"/>
        <v>19469231.959298376</v>
      </c>
      <c r="G134" s="469">
        <f t="shared" si="16"/>
        <v>2866.072715927922</v>
      </c>
      <c r="H134" s="460">
        <f t="shared" si="17"/>
        <v>921.0472840720777</v>
      </c>
      <c r="I134" s="380">
        <f t="shared" si="18"/>
      </c>
      <c r="J134" s="380">
        <f t="shared" si="19"/>
      </c>
      <c r="K134" s="461">
        <f t="shared" si="20"/>
        <v>736.8378272576622</v>
      </c>
      <c r="L134" s="488">
        <f t="shared" si="21"/>
        <v>5005339.360561299</v>
      </c>
      <c r="M134" s="488"/>
      <c r="N134" s="470">
        <v>322</v>
      </c>
      <c r="O134" s="389" t="s">
        <v>921</v>
      </c>
      <c r="P134" s="471">
        <v>3</v>
      </c>
      <c r="Q134" s="472" t="s">
        <v>764</v>
      </c>
      <c r="X134" s="473" t="s">
        <v>141</v>
      </c>
      <c r="Y134" s="474">
        <v>19.75</v>
      </c>
      <c r="Z134" s="475">
        <v>18277375.39</v>
      </c>
      <c r="AA134" s="476">
        <f t="shared" si="22"/>
        <v>92543672.8607595</v>
      </c>
      <c r="AB134" s="475">
        <v>1099312.8964376147</v>
      </c>
      <c r="AE134" s="489">
        <v>322</v>
      </c>
      <c r="AF134">
        <f t="shared" si="23"/>
        <v>0</v>
      </c>
      <c r="AH134" s="477">
        <v>18205.380034454625</v>
      </c>
      <c r="AI134">
        <f t="shared" si="24"/>
        <v>18205380.034454625</v>
      </c>
      <c r="AJ134" s="490">
        <v>1100.9859040000001</v>
      </c>
      <c r="AK134">
        <f t="shared" si="25"/>
        <v>1100985.904</v>
      </c>
    </row>
    <row r="135" spans="1:37" ht="15" customHeight="1">
      <c r="A135" s="453" t="s">
        <v>922</v>
      </c>
      <c r="B135" s="467">
        <v>119573</v>
      </c>
      <c r="C135" s="468">
        <f t="shared" si="13"/>
        <v>382821812.6583374</v>
      </c>
      <c r="D135" s="468">
        <f t="shared" si="14"/>
        <v>27926682.127669517</v>
      </c>
      <c r="E135" s="468">
        <v>0</v>
      </c>
      <c r="F135" s="468">
        <f t="shared" si="15"/>
        <v>410748494.7860069</v>
      </c>
      <c r="G135" s="469">
        <f t="shared" si="16"/>
        <v>3435.1274517324723</v>
      </c>
      <c r="H135" s="460">
        <f t="shared" si="17"/>
        <v>351.9925482675276</v>
      </c>
      <c r="I135" s="380">
        <f t="shared" si="18"/>
      </c>
      <c r="J135" s="380">
        <f t="shared" si="19"/>
      </c>
      <c r="K135" s="461">
        <f t="shared" si="20"/>
        <v>281.59403861402205</v>
      </c>
      <c r="L135" s="488">
        <f t="shared" si="21"/>
        <v>33671043.97919446</v>
      </c>
      <c r="M135" s="488"/>
      <c r="N135" s="478">
        <v>398</v>
      </c>
      <c r="O135" s="479" t="s">
        <v>923</v>
      </c>
      <c r="P135" s="471">
        <v>0</v>
      </c>
      <c r="Q135" s="472" t="s">
        <v>760</v>
      </c>
      <c r="X135" s="473" t="s">
        <v>173</v>
      </c>
      <c r="Y135" s="474">
        <v>20.75</v>
      </c>
      <c r="Z135" s="475">
        <v>400178972.93</v>
      </c>
      <c r="AA135" s="476">
        <f t="shared" si="22"/>
        <v>1928573363.5180724</v>
      </c>
      <c r="AB135" s="475">
        <v>27926682.127669517</v>
      </c>
      <c r="AE135" s="489">
        <v>398</v>
      </c>
      <c r="AF135">
        <f t="shared" si="23"/>
        <v>0</v>
      </c>
      <c r="AH135" s="477">
        <v>401640.5881775681</v>
      </c>
      <c r="AI135">
        <f t="shared" si="24"/>
        <v>401640588.1775681</v>
      </c>
      <c r="AJ135" s="490">
        <v>27969.182812</v>
      </c>
      <c r="AK135">
        <f t="shared" si="25"/>
        <v>27969182.812</v>
      </c>
    </row>
    <row r="136" spans="1:37" ht="15" customHeight="1">
      <c r="A136" s="453" t="s">
        <v>924</v>
      </c>
      <c r="B136" s="467">
        <v>8051</v>
      </c>
      <c r="C136" s="468">
        <f t="shared" si="13"/>
        <v>25374029.303218395</v>
      </c>
      <c r="D136" s="468">
        <f t="shared" si="14"/>
        <v>1019205.6210231986</v>
      </c>
      <c r="E136" s="468">
        <v>0</v>
      </c>
      <c r="F136" s="468">
        <f t="shared" si="15"/>
        <v>26393234.924241595</v>
      </c>
      <c r="G136" s="469">
        <f t="shared" si="16"/>
        <v>3278.255486801838</v>
      </c>
      <c r="H136" s="460">
        <f t="shared" si="17"/>
        <v>508.86451319816206</v>
      </c>
      <c r="I136" s="380">
        <f t="shared" si="18"/>
      </c>
      <c r="J136" s="380">
        <f t="shared" si="19"/>
      </c>
      <c r="K136" s="461">
        <f t="shared" si="20"/>
        <v>407.0916105585297</v>
      </c>
      <c r="L136" s="488">
        <f t="shared" si="21"/>
        <v>3277494.5566067225</v>
      </c>
      <c r="M136" s="488"/>
      <c r="N136" s="478">
        <v>399</v>
      </c>
      <c r="O136" s="479" t="s">
        <v>925</v>
      </c>
      <c r="P136" s="471">
        <v>0</v>
      </c>
      <c r="Q136" s="472" t="s">
        <v>835</v>
      </c>
      <c r="X136" s="473" t="s">
        <v>174</v>
      </c>
      <c r="Y136" s="474">
        <v>21.75</v>
      </c>
      <c r="Z136" s="475">
        <v>27802777.7</v>
      </c>
      <c r="AA136" s="476">
        <f t="shared" si="22"/>
        <v>127828862.98850575</v>
      </c>
      <c r="AB136" s="475">
        <v>1019205.6210231986</v>
      </c>
      <c r="AE136" s="489">
        <v>399</v>
      </c>
      <c r="AF136">
        <f t="shared" si="23"/>
        <v>0</v>
      </c>
      <c r="AH136" s="477">
        <v>27576.424330995946</v>
      </c>
      <c r="AI136">
        <f t="shared" si="24"/>
        <v>27576424.330995947</v>
      </c>
      <c r="AJ136" s="490">
        <v>1020.7567160000002</v>
      </c>
      <c r="AK136">
        <f t="shared" si="25"/>
        <v>1020756.7160000002</v>
      </c>
    </row>
    <row r="137" spans="1:37" ht="15" customHeight="1">
      <c r="A137" s="453" t="s">
        <v>926</v>
      </c>
      <c r="B137" s="467">
        <v>8610</v>
      </c>
      <c r="C137" s="468">
        <f t="shared" si="13"/>
        <v>24643177.447219513</v>
      </c>
      <c r="D137" s="468">
        <f t="shared" si="14"/>
        <v>1981312.6744484152</v>
      </c>
      <c r="E137" s="468">
        <v>0</v>
      </c>
      <c r="F137" s="468">
        <f t="shared" si="15"/>
        <v>26624490.12166793</v>
      </c>
      <c r="G137" s="469">
        <f t="shared" si="16"/>
        <v>3092.275275455044</v>
      </c>
      <c r="H137" s="460">
        <f t="shared" si="17"/>
        <v>694.8447245449561</v>
      </c>
      <c r="I137" s="380">
        <f t="shared" si="18"/>
      </c>
      <c r="J137" s="380">
        <f t="shared" si="19"/>
      </c>
      <c r="K137" s="461">
        <f t="shared" si="20"/>
        <v>555.8757796359649</v>
      </c>
      <c r="L137" s="488">
        <f t="shared" si="21"/>
        <v>4786090.462665658</v>
      </c>
      <c r="M137" s="488"/>
      <c r="N137" s="478">
        <v>400</v>
      </c>
      <c r="O137" s="389" t="s">
        <v>926</v>
      </c>
      <c r="P137" s="471">
        <v>0</v>
      </c>
      <c r="Q137" s="472" t="s">
        <v>764</v>
      </c>
      <c r="S137" s="1"/>
      <c r="T137" s="1"/>
      <c r="U137" s="1"/>
      <c r="X137" s="473" t="s">
        <v>175</v>
      </c>
      <c r="Y137" s="474">
        <v>20.5</v>
      </c>
      <c r="Z137" s="475">
        <v>25450132.88</v>
      </c>
      <c r="AA137" s="476">
        <f t="shared" si="22"/>
        <v>124146989.65853658</v>
      </c>
      <c r="AB137" s="475">
        <v>1981312.6744484152</v>
      </c>
      <c r="AC137" s="1"/>
      <c r="AE137" s="489">
        <v>400</v>
      </c>
      <c r="AF137">
        <f t="shared" si="23"/>
        <v>0</v>
      </c>
      <c r="AH137" s="477">
        <v>25292.696813482842</v>
      </c>
      <c r="AI137">
        <f t="shared" si="24"/>
        <v>25292696.813482843</v>
      </c>
      <c r="AJ137" s="490">
        <v>1984.327968</v>
      </c>
      <c r="AK137">
        <f t="shared" si="25"/>
        <v>1984327.968</v>
      </c>
    </row>
    <row r="138" spans="1:37" ht="15" customHeight="1">
      <c r="A138" s="453" t="s">
        <v>927</v>
      </c>
      <c r="B138" s="467">
        <v>9692</v>
      </c>
      <c r="C138" s="468">
        <f t="shared" si="13"/>
        <v>24369370.944635294</v>
      </c>
      <c r="D138" s="468">
        <f t="shared" si="14"/>
        <v>1570540.0475828403</v>
      </c>
      <c r="E138" s="468">
        <v>0</v>
      </c>
      <c r="F138" s="468">
        <f t="shared" si="15"/>
        <v>25939910.992218133</v>
      </c>
      <c r="G138" s="469">
        <f t="shared" si="16"/>
        <v>2676.4249888792956</v>
      </c>
      <c r="H138" s="460">
        <f t="shared" si="17"/>
        <v>1110.6950111207043</v>
      </c>
      <c r="I138" s="380">
        <f t="shared" si="18"/>
      </c>
      <c r="J138" s="380">
        <f t="shared" si="19"/>
      </c>
      <c r="K138" s="461">
        <f t="shared" si="20"/>
        <v>888.5560088965635</v>
      </c>
      <c r="L138" s="488">
        <f t="shared" si="21"/>
        <v>8611884.838225493</v>
      </c>
      <c r="M138" s="488"/>
      <c r="N138" s="478">
        <v>402</v>
      </c>
      <c r="O138" s="389" t="s">
        <v>927</v>
      </c>
      <c r="P138" s="471">
        <v>0</v>
      </c>
      <c r="Q138" s="472" t="s">
        <v>819</v>
      </c>
      <c r="X138" s="473" t="s">
        <v>177</v>
      </c>
      <c r="Y138" s="474">
        <v>21.25</v>
      </c>
      <c r="Z138" s="475">
        <v>26088117.51</v>
      </c>
      <c r="AA138" s="476">
        <f t="shared" si="22"/>
        <v>122767611.8117647</v>
      </c>
      <c r="AB138" s="475">
        <v>1570540.0475828403</v>
      </c>
      <c r="AE138" s="489">
        <v>402</v>
      </c>
      <c r="AF138">
        <f t="shared" si="23"/>
        <v>0</v>
      </c>
      <c r="AH138" s="477">
        <v>26226.845569140052</v>
      </c>
      <c r="AI138">
        <f t="shared" si="24"/>
        <v>26226845.56914005</v>
      </c>
      <c r="AJ138" s="490">
        <v>1572.9302</v>
      </c>
      <c r="AK138">
        <f t="shared" si="25"/>
        <v>1572930.2</v>
      </c>
    </row>
    <row r="139" spans="1:37" ht="15" customHeight="1">
      <c r="A139" s="453" t="s">
        <v>928</v>
      </c>
      <c r="B139" s="467">
        <v>3140</v>
      </c>
      <c r="C139" s="468">
        <f t="shared" si="13"/>
        <v>7462184.420880953</v>
      </c>
      <c r="D139" s="468">
        <f t="shared" si="14"/>
        <v>744141.2522944001</v>
      </c>
      <c r="E139" s="468">
        <v>0</v>
      </c>
      <c r="F139" s="468">
        <f t="shared" si="15"/>
        <v>8206325.673175353</v>
      </c>
      <c r="G139" s="469">
        <f t="shared" si="16"/>
        <v>2613.4795137501123</v>
      </c>
      <c r="H139" s="460">
        <f t="shared" si="17"/>
        <v>1173.6404862498875</v>
      </c>
      <c r="I139" s="380">
        <f t="shared" si="18"/>
      </c>
      <c r="J139" s="380">
        <f t="shared" si="19"/>
      </c>
      <c r="K139" s="461">
        <f t="shared" si="20"/>
        <v>938.91238899991</v>
      </c>
      <c r="L139" s="488">
        <f t="shared" si="21"/>
        <v>2948184.9014597177</v>
      </c>
      <c r="M139" s="488"/>
      <c r="N139" s="478">
        <v>403</v>
      </c>
      <c r="O139" s="389" t="s">
        <v>928</v>
      </c>
      <c r="P139" s="471">
        <v>0</v>
      </c>
      <c r="Q139" s="472" t="s">
        <v>755</v>
      </c>
      <c r="X139" s="473" t="s">
        <v>178</v>
      </c>
      <c r="Y139" s="474">
        <v>21</v>
      </c>
      <c r="Z139" s="475">
        <v>7894502.41</v>
      </c>
      <c r="AA139" s="476">
        <f t="shared" si="22"/>
        <v>37592868.61904762</v>
      </c>
      <c r="AB139" s="475">
        <v>744141.2522944001</v>
      </c>
      <c r="AE139" s="489">
        <v>403</v>
      </c>
      <c r="AF139">
        <f t="shared" si="23"/>
        <v>0</v>
      </c>
      <c r="AH139" s="477">
        <v>7754.79301166836</v>
      </c>
      <c r="AI139">
        <f t="shared" si="24"/>
        <v>7754793.01166836</v>
      </c>
      <c r="AJ139" s="490">
        <v>745.273736</v>
      </c>
      <c r="AK139">
        <f t="shared" si="25"/>
        <v>745273.736</v>
      </c>
    </row>
    <row r="140" spans="1:37" ht="15" customHeight="1">
      <c r="A140" s="466" t="s">
        <v>929</v>
      </c>
      <c r="B140" s="467">
        <v>72909</v>
      </c>
      <c r="C140" s="468">
        <f t="shared" si="13"/>
        <v>232961374.47657147</v>
      </c>
      <c r="D140" s="468">
        <f t="shared" si="14"/>
        <v>22184655.450194072</v>
      </c>
      <c r="E140" s="468">
        <v>0</v>
      </c>
      <c r="F140" s="468">
        <f t="shared" si="15"/>
        <v>255146029.92676553</v>
      </c>
      <c r="G140" s="469">
        <f t="shared" si="16"/>
        <v>3499.5135021295796</v>
      </c>
      <c r="H140" s="460">
        <f t="shared" si="17"/>
        <v>287.6064978704203</v>
      </c>
      <c r="I140" s="380">
        <f t="shared" si="18"/>
      </c>
      <c r="J140" s="380">
        <f t="shared" si="19"/>
      </c>
      <c r="K140" s="461">
        <f t="shared" si="20"/>
        <v>230.08519829633624</v>
      </c>
      <c r="L140" s="488">
        <f t="shared" si="21"/>
        <v>16775281.72258758</v>
      </c>
      <c r="M140" s="488"/>
      <c r="N140" s="470">
        <v>405</v>
      </c>
      <c r="O140" s="479" t="s">
        <v>930</v>
      </c>
      <c r="P140" s="471">
        <v>0</v>
      </c>
      <c r="Q140" s="472" t="s">
        <v>837</v>
      </c>
      <c r="X140" s="473" t="s">
        <v>179</v>
      </c>
      <c r="Y140" s="474">
        <v>21</v>
      </c>
      <c r="Z140" s="475">
        <v>246457877.28</v>
      </c>
      <c r="AA140" s="476">
        <f t="shared" si="22"/>
        <v>1173608939.4285715</v>
      </c>
      <c r="AB140" s="475">
        <v>22184655.450194072</v>
      </c>
      <c r="AE140" s="489">
        <v>405</v>
      </c>
      <c r="AF140">
        <f t="shared" si="23"/>
        <v>0</v>
      </c>
      <c r="AH140" s="477">
        <v>247370.43039598738</v>
      </c>
      <c r="AI140">
        <f t="shared" si="24"/>
        <v>247370430.3959874</v>
      </c>
      <c r="AJ140" s="490">
        <v>22218.417536</v>
      </c>
      <c r="AK140">
        <f t="shared" si="25"/>
        <v>22218417.536000002</v>
      </c>
    </row>
    <row r="141" spans="1:37" ht="15" customHeight="1">
      <c r="A141" s="453" t="s">
        <v>931</v>
      </c>
      <c r="B141" s="467">
        <v>2706</v>
      </c>
      <c r="C141" s="468">
        <f t="shared" si="13"/>
        <v>7348836.140512195</v>
      </c>
      <c r="D141" s="468">
        <f t="shared" si="14"/>
        <v>563529.8507510879</v>
      </c>
      <c r="E141" s="468">
        <v>0</v>
      </c>
      <c r="F141" s="468">
        <f t="shared" si="15"/>
        <v>7912365.991263283</v>
      </c>
      <c r="G141" s="469">
        <f t="shared" si="16"/>
        <v>2924.0081268526546</v>
      </c>
      <c r="H141" s="460">
        <f t="shared" si="17"/>
        <v>863.1118731473452</v>
      </c>
      <c r="I141" s="380">
        <f t="shared" si="18"/>
      </c>
      <c r="J141" s="380">
        <f t="shared" si="19"/>
      </c>
      <c r="K141" s="461">
        <f t="shared" si="20"/>
        <v>690.4894985178762</v>
      </c>
      <c r="L141" s="488">
        <f t="shared" si="21"/>
        <v>1868464.582989373</v>
      </c>
      <c r="M141" s="488"/>
      <c r="N141" s="478">
        <v>407</v>
      </c>
      <c r="O141" s="479" t="s">
        <v>932</v>
      </c>
      <c r="P141" s="471">
        <v>1</v>
      </c>
      <c r="Q141" s="472" t="s">
        <v>762</v>
      </c>
      <c r="X141" s="473" t="s">
        <v>176</v>
      </c>
      <c r="Y141" s="474">
        <v>20.5</v>
      </c>
      <c r="Z141" s="475">
        <v>7589478.13</v>
      </c>
      <c r="AA141" s="476">
        <f t="shared" si="22"/>
        <v>37021844.53658537</v>
      </c>
      <c r="AB141" s="475">
        <v>563529.8507510879</v>
      </c>
      <c r="AE141" s="489">
        <v>407</v>
      </c>
      <c r="AF141">
        <f t="shared" si="23"/>
        <v>0</v>
      </c>
      <c r="AH141" s="477">
        <v>7440.104918970971</v>
      </c>
      <c r="AI141">
        <f t="shared" si="24"/>
        <v>7440104.918970971</v>
      </c>
      <c r="AJ141" s="490">
        <v>564.3874679999999</v>
      </c>
      <c r="AK141">
        <f t="shared" si="25"/>
        <v>564387.4679999999</v>
      </c>
    </row>
    <row r="142" spans="1:37" ht="15" customHeight="1">
      <c r="A142" s="453" t="s">
        <v>933</v>
      </c>
      <c r="B142" s="467">
        <v>14494</v>
      </c>
      <c r="C142" s="468">
        <f t="shared" si="13"/>
        <v>40561567.184186056</v>
      </c>
      <c r="D142" s="468">
        <f t="shared" si="14"/>
        <v>2382616.9908193387</v>
      </c>
      <c r="E142" s="468">
        <v>0</v>
      </c>
      <c r="F142" s="468">
        <f t="shared" si="15"/>
        <v>42944184.17500539</v>
      </c>
      <c r="G142" s="469">
        <f t="shared" si="16"/>
        <v>2962.893899200041</v>
      </c>
      <c r="H142" s="460">
        <f t="shared" si="17"/>
        <v>824.2261007999591</v>
      </c>
      <c r="I142" s="380">
        <f t="shared" si="18"/>
      </c>
      <c r="J142" s="380">
        <f t="shared" si="19"/>
      </c>
      <c r="K142" s="461">
        <f t="shared" si="20"/>
        <v>659.3808806399674</v>
      </c>
      <c r="L142" s="488">
        <f t="shared" si="21"/>
        <v>9557066.483995687</v>
      </c>
      <c r="M142" s="488"/>
      <c r="N142" s="478">
        <v>408</v>
      </c>
      <c r="O142" s="479" t="s">
        <v>934</v>
      </c>
      <c r="P142" s="471">
        <v>0</v>
      </c>
      <c r="Q142" s="472" t="s">
        <v>755</v>
      </c>
      <c r="X142" s="473" t="s">
        <v>180</v>
      </c>
      <c r="Y142" s="474">
        <v>21.5</v>
      </c>
      <c r="Z142" s="475">
        <v>43933183.6</v>
      </c>
      <c r="AA142" s="476">
        <f t="shared" si="22"/>
        <v>204340388.8372093</v>
      </c>
      <c r="AB142" s="475">
        <v>2382616.9908193387</v>
      </c>
      <c r="AE142" s="489">
        <v>408</v>
      </c>
      <c r="AF142">
        <f t="shared" si="23"/>
        <v>0</v>
      </c>
      <c r="AH142" s="477">
        <v>43704.63949227772</v>
      </c>
      <c r="AI142">
        <f t="shared" si="24"/>
        <v>43704639.49227772</v>
      </c>
      <c r="AJ142" s="490">
        <v>2386.243016</v>
      </c>
      <c r="AK142">
        <f t="shared" si="25"/>
        <v>2386243.016</v>
      </c>
    </row>
    <row r="143" spans="1:37" ht="15" customHeight="1">
      <c r="A143" s="453" t="s">
        <v>935</v>
      </c>
      <c r="B143" s="467">
        <v>18978</v>
      </c>
      <c r="C143" s="468">
        <f t="shared" si="13"/>
        <v>55204409.674511634</v>
      </c>
      <c r="D143" s="468">
        <f t="shared" si="14"/>
        <v>2586613.467398391</v>
      </c>
      <c r="E143" s="468">
        <v>0</v>
      </c>
      <c r="F143" s="468">
        <f t="shared" si="15"/>
        <v>57791023.141910024</v>
      </c>
      <c r="G143" s="469">
        <f t="shared" si="16"/>
        <v>3045.1587702555603</v>
      </c>
      <c r="H143" s="460">
        <f t="shared" si="17"/>
        <v>741.9612297444396</v>
      </c>
      <c r="I143" s="380">
        <f t="shared" si="18"/>
      </c>
      <c r="J143" s="380">
        <f t="shared" si="19"/>
      </c>
      <c r="K143" s="461">
        <f t="shared" si="20"/>
        <v>593.5689837955517</v>
      </c>
      <c r="L143" s="488">
        <f t="shared" si="21"/>
        <v>11264752.17447198</v>
      </c>
      <c r="M143" s="488"/>
      <c r="N143" s="478">
        <v>410</v>
      </c>
      <c r="O143" s="389" t="s">
        <v>935</v>
      </c>
      <c r="P143" s="471">
        <v>0</v>
      </c>
      <c r="Q143" s="472" t="s">
        <v>790</v>
      </c>
      <c r="X143" s="473" t="s">
        <v>181</v>
      </c>
      <c r="Y143" s="474">
        <v>21.5</v>
      </c>
      <c r="Z143" s="475">
        <v>59793189.32</v>
      </c>
      <c r="AA143" s="476">
        <f t="shared" si="22"/>
        <v>278107857.3023256</v>
      </c>
      <c r="AB143" s="475">
        <v>2586613.467398391</v>
      </c>
      <c r="AE143" s="489">
        <v>410</v>
      </c>
      <c r="AF143">
        <f t="shared" si="23"/>
        <v>0</v>
      </c>
      <c r="AH143" s="477">
        <v>59900.761950071086</v>
      </c>
      <c r="AI143">
        <f t="shared" si="24"/>
        <v>59900761.95007109</v>
      </c>
      <c r="AJ143" s="490">
        <v>2590.549948</v>
      </c>
      <c r="AK143">
        <f t="shared" si="25"/>
        <v>2590549.948</v>
      </c>
    </row>
    <row r="144" spans="1:37" ht="15" customHeight="1">
      <c r="A144" s="453" t="s">
        <v>936</v>
      </c>
      <c r="B144" s="467">
        <v>3063</v>
      </c>
      <c r="C144" s="468">
        <f t="shared" si="13"/>
        <v>8605041.960666668</v>
      </c>
      <c r="D144" s="468">
        <f t="shared" si="14"/>
        <v>417581.58853434</v>
      </c>
      <c r="E144" s="468">
        <v>0</v>
      </c>
      <c r="F144" s="468">
        <f t="shared" si="15"/>
        <v>9022623.549201008</v>
      </c>
      <c r="G144" s="469">
        <f t="shared" si="16"/>
        <v>2945.681863924586</v>
      </c>
      <c r="H144" s="460">
        <f t="shared" si="17"/>
        <v>841.4381360754137</v>
      </c>
      <c r="I144" s="380">
        <f t="shared" si="18"/>
      </c>
      <c r="J144" s="380">
        <f t="shared" si="19"/>
      </c>
      <c r="K144" s="461">
        <f t="shared" si="20"/>
        <v>673.150508860331</v>
      </c>
      <c r="L144" s="488">
        <f t="shared" si="21"/>
        <v>2061860.0086391938</v>
      </c>
      <c r="M144" s="488"/>
      <c r="N144" s="478">
        <v>416</v>
      </c>
      <c r="O144" s="389" t="s">
        <v>936</v>
      </c>
      <c r="P144" s="471">
        <v>0</v>
      </c>
      <c r="Q144" s="472" t="s">
        <v>837</v>
      </c>
      <c r="X144" s="473" t="s">
        <v>182</v>
      </c>
      <c r="Y144" s="474">
        <v>21</v>
      </c>
      <c r="Z144" s="475">
        <v>9103570.84</v>
      </c>
      <c r="AA144" s="476">
        <f t="shared" si="22"/>
        <v>43350337.333333336</v>
      </c>
      <c r="AB144" s="475">
        <v>417581.58853434</v>
      </c>
      <c r="AE144" s="489">
        <v>416</v>
      </c>
      <c r="AF144">
        <f t="shared" si="23"/>
        <v>0</v>
      </c>
      <c r="AH144" s="477">
        <v>9172.76723851065</v>
      </c>
      <c r="AI144">
        <f t="shared" si="24"/>
        <v>9172767.238510652</v>
      </c>
      <c r="AJ144" s="490">
        <v>418.21709200000004</v>
      </c>
      <c r="AK144">
        <f t="shared" si="25"/>
        <v>418217.09200000006</v>
      </c>
    </row>
    <row r="145" spans="1:37" ht="15" customHeight="1">
      <c r="A145" s="453" t="s">
        <v>937</v>
      </c>
      <c r="B145" s="467">
        <v>22829</v>
      </c>
      <c r="C145" s="468">
        <f t="shared" si="13"/>
        <v>81620657.60231707</v>
      </c>
      <c r="D145" s="468">
        <f t="shared" si="14"/>
        <v>4209061.781524948</v>
      </c>
      <c r="E145" s="468">
        <v>0</v>
      </c>
      <c r="F145" s="468">
        <f t="shared" si="15"/>
        <v>85829719.383842</v>
      </c>
      <c r="G145" s="469">
        <f t="shared" si="16"/>
        <v>3759.679328215954</v>
      </c>
      <c r="H145" s="460">
        <f t="shared" si="17"/>
        <v>27.440671784046117</v>
      </c>
      <c r="I145" s="380">
        <f t="shared" si="18"/>
      </c>
      <c r="J145" s="380">
        <f t="shared" si="19"/>
      </c>
      <c r="K145" s="461">
        <f t="shared" si="20"/>
        <v>21.952537427236894</v>
      </c>
      <c r="L145" s="488">
        <f t="shared" si="21"/>
        <v>501154.4769263911</v>
      </c>
      <c r="M145" s="488"/>
      <c r="N145" s="478">
        <v>418</v>
      </c>
      <c r="O145" s="389" t="s">
        <v>937</v>
      </c>
      <c r="P145" s="471">
        <v>0</v>
      </c>
      <c r="Q145" s="472" t="s">
        <v>765</v>
      </c>
      <c r="X145" s="473" t="s">
        <v>183</v>
      </c>
      <c r="Y145" s="474">
        <v>20.5</v>
      </c>
      <c r="Z145" s="475">
        <v>84293374.35</v>
      </c>
      <c r="AA145" s="476">
        <f t="shared" si="22"/>
        <v>411187191.95121944</v>
      </c>
      <c r="AB145" s="475">
        <v>4209061.781524948</v>
      </c>
      <c r="AE145" s="489">
        <v>418</v>
      </c>
      <c r="AF145">
        <f t="shared" si="23"/>
        <v>0</v>
      </c>
      <c r="AH145" s="477">
        <v>84074.57090217178</v>
      </c>
      <c r="AI145">
        <f t="shared" si="24"/>
        <v>84074570.90217178</v>
      </c>
      <c r="AJ145" s="490">
        <v>4215.467412000001</v>
      </c>
      <c r="AK145">
        <f t="shared" si="25"/>
        <v>4215467.4120000005</v>
      </c>
    </row>
    <row r="146" spans="1:37" ht="15" customHeight="1">
      <c r="A146" s="453" t="s">
        <v>938</v>
      </c>
      <c r="B146" s="467">
        <v>9782</v>
      </c>
      <c r="C146" s="468">
        <f t="shared" si="13"/>
        <v>28053425.417809524</v>
      </c>
      <c r="D146" s="468">
        <f t="shared" si="14"/>
        <v>2600744.789411632</v>
      </c>
      <c r="E146" s="468">
        <v>0</v>
      </c>
      <c r="F146" s="468">
        <f t="shared" si="15"/>
        <v>30654170.207221154</v>
      </c>
      <c r="G146" s="469">
        <f t="shared" si="16"/>
        <v>3133.7323867533382</v>
      </c>
      <c r="H146" s="460">
        <f t="shared" si="17"/>
        <v>653.3876132466617</v>
      </c>
      <c r="I146" s="380">
        <f t="shared" si="18"/>
      </c>
      <c r="J146" s="380">
        <f t="shared" si="19"/>
      </c>
      <c r="K146" s="461">
        <f t="shared" si="20"/>
        <v>522.7100905973293</v>
      </c>
      <c r="L146" s="488">
        <f t="shared" si="21"/>
        <v>5113150.106223076</v>
      </c>
      <c r="M146" s="488"/>
      <c r="N146" s="478">
        <v>420</v>
      </c>
      <c r="O146" s="389" t="s">
        <v>938</v>
      </c>
      <c r="P146" s="471">
        <v>0</v>
      </c>
      <c r="Q146" s="472" t="s">
        <v>819</v>
      </c>
      <c r="X146" s="473" t="s">
        <v>184</v>
      </c>
      <c r="Y146" s="474">
        <v>21</v>
      </c>
      <c r="Z146" s="475">
        <v>29678686.84</v>
      </c>
      <c r="AA146" s="476">
        <f t="shared" si="22"/>
        <v>141327080.19047618</v>
      </c>
      <c r="AB146" s="475">
        <v>2600744.789411632</v>
      </c>
      <c r="AE146" s="489">
        <v>420</v>
      </c>
      <c r="AF146">
        <f t="shared" si="23"/>
        <v>0</v>
      </c>
      <c r="AH146" s="477">
        <v>29938.7274708232</v>
      </c>
      <c r="AI146">
        <f t="shared" si="24"/>
        <v>29938727.4708232</v>
      </c>
      <c r="AJ146" s="490">
        <v>2604.702776</v>
      </c>
      <c r="AK146">
        <f t="shared" si="25"/>
        <v>2604702.776</v>
      </c>
    </row>
    <row r="147" spans="1:37" s="1" customFormat="1" ht="15" customHeight="1">
      <c r="A147" s="453" t="s">
        <v>939</v>
      </c>
      <c r="B147" s="467">
        <v>789</v>
      </c>
      <c r="C147" s="468">
        <f aca="true" t="shared" si="26" ref="C147:C210">19.85*AA147/100</f>
        <v>1723097.5403571434</v>
      </c>
      <c r="D147" s="468">
        <f aca="true" t="shared" si="27" ref="D147:D210">AB147</f>
        <v>383017.1869421171</v>
      </c>
      <c r="E147" s="468">
        <v>0</v>
      </c>
      <c r="F147" s="468">
        <f aca="true" t="shared" si="28" ref="F147:F210">C147+D147+E147</f>
        <v>2106114.7272992604</v>
      </c>
      <c r="G147" s="469">
        <f aca="true" t="shared" si="29" ref="G147:G210">F147/B147</f>
        <v>2669.346929403372</v>
      </c>
      <c r="H147" s="460">
        <f aca="true" t="shared" si="30" ref="H147:H210">$G$15-G147</f>
        <v>1117.7730705966278</v>
      </c>
      <c r="I147" s="380">
        <f aca="true" t="shared" si="31" ref="I147:I210">IF(H147&lt;0,LN(-H147),"")</f>
      </c>
      <c r="J147" s="380">
        <f aca="true" t="shared" si="32" ref="J147:J210">IF(H147&lt;0,30+I147,"")</f>
      </c>
      <c r="K147" s="461">
        <f aca="true" t="shared" si="33" ref="K147:K210">IF(H147&gt;0,H147*0.8,J147*H147/100)</f>
        <v>894.2184564773023</v>
      </c>
      <c r="L147" s="488">
        <f aca="true" t="shared" si="34" ref="L147:L210">K147*B147</f>
        <v>705538.3621605915</v>
      </c>
      <c r="M147" s="488"/>
      <c r="N147" s="478">
        <v>421</v>
      </c>
      <c r="O147" s="389" t="s">
        <v>939</v>
      </c>
      <c r="P147" s="471">
        <v>0</v>
      </c>
      <c r="Q147" s="472" t="s">
        <v>785</v>
      </c>
      <c r="R147"/>
      <c r="S147"/>
      <c r="T147"/>
      <c r="U147"/>
      <c r="V147"/>
      <c r="W147"/>
      <c r="X147" s="473" t="s">
        <v>185</v>
      </c>
      <c r="Y147" s="474">
        <v>21</v>
      </c>
      <c r="Z147" s="475">
        <v>1822924.35</v>
      </c>
      <c r="AA147" s="476">
        <f aca="true" t="shared" si="35" ref="AA147:AA210">100*Z147/Y147</f>
        <v>8680592.142857144</v>
      </c>
      <c r="AB147" s="475">
        <v>383017.1869421171</v>
      </c>
      <c r="AC147"/>
      <c r="AD147"/>
      <c r="AE147" s="489">
        <v>421</v>
      </c>
      <c r="AF147">
        <f aca="true" t="shared" si="36" ref="AF147:AF210">N147-AE147</f>
        <v>0</v>
      </c>
      <c r="AG147"/>
      <c r="AH147" s="477">
        <v>1768.8748530815637</v>
      </c>
      <c r="AI147">
        <f aca="true" t="shared" si="37" ref="AI147:AI210">AH147*1000</f>
        <v>1768874.8530815637</v>
      </c>
      <c r="AJ147" s="490">
        <v>383.600088</v>
      </c>
      <c r="AK147">
        <f aca="true" t="shared" si="38" ref="AK147:AK210">AJ147*1000</f>
        <v>383600.08800000005</v>
      </c>
    </row>
    <row r="148" spans="1:37" ht="15" customHeight="1">
      <c r="A148" s="453" t="s">
        <v>940</v>
      </c>
      <c r="B148" s="467">
        <v>11297</v>
      </c>
      <c r="C148" s="468">
        <f t="shared" si="26"/>
        <v>29499054.241952382</v>
      </c>
      <c r="D148" s="468">
        <f t="shared" si="27"/>
        <v>4471295.688504739</v>
      </c>
      <c r="E148" s="468">
        <v>0</v>
      </c>
      <c r="F148" s="468">
        <f t="shared" si="28"/>
        <v>33970349.93045712</v>
      </c>
      <c r="G148" s="469">
        <f t="shared" si="29"/>
        <v>3007.023982513687</v>
      </c>
      <c r="H148" s="460">
        <f t="shared" si="30"/>
        <v>780.096017486313</v>
      </c>
      <c r="I148" s="380">
        <f t="shared" si="31"/>
      </c>
      <c r="J148" s="380">
        <f t="shared" si="32"/>
      </c>
      <c r="K148" s="461">
        <f t="shared" si="33"/>
        <v>624.0768139890505</v>
      </c>
      <c r="L148" s="488">
        <f t="shared" si="34"/>
        <v>7050195.767634303</v>
      </c>
      <c r="M148" s="488"/>
      <c r="N148" s="478">
        <v>422</v>
      </c>
      <c r="O148" s="389" t="s">
        <v>940</v>
      </c>
      <c r="P148" s="471">
        <v>0</v>
      </c>
      <c r="Q148" s="472" t="s">
        <v>826</v>
      </c>
      <c r="X148" s="473" t="s">
        <v>186</v>
      </c>
      <c r="Y148" s="474">
        <v>21</v>
      </c>
      <c r="Z148" s="475">
        <v>31208067.46</v>
      </c>
      <c r="AA148" s="476">
        <f t="shared" si="35"/>
        <v>148609845.04761904</v>
      </c>
      <c r="AB148" s="475">
        <v>4471295.688504739</v>
      </c>
      <c r="AD148" s="1"/>
      <c r="AE148" s="489">
        <v>422</v>
      </c>
      <c r="AF148">
        <f t="shared" si="36"/>
        <v>0</v>
      </c>
      <c r="AG148" s="1"/>
      <c r="AH148" s="477">
        <v>31462.04235137956</v>
      </c>
      <c r="AI148">
        <f t="shared" si="37"/>
        <v>31462042.351379562</v>
      </c>
      <c r="AJ148" s="490">
        <v>4478.100404</v>
      </c>
      <c r="AK148">
        <f t="shared" si="38"/>
        <v>4478100.404</v>
      </c>
    </row>
    <row r="149" spans="1:37" ht="15" customHeight="1">
      <c r="A149" s="453" t="s">
        <v>941</v>
      </c>
      <c r="B149" s="467">
        <v>19596</v>
      </c>
      <c r="C149" s="468">
        <f t="shared" si="26"/>
        <v>70991529.92230769</v>
      </c>
      <c r="D149" s="468">
        <f t="shared" si="27"/>
        <v>3736230.2360538337</v>
      </c>
      <c r="E149" s="468">
        <v>0</v>
      </c>
      <c r="F149" s="468">
        <f t="shared" si="28"/>
        <v>74727760.15836152</v>
      </c>
      <c r="G149" s="469">
        <f t="shared" si="29"/>
        <v>3813.4190731966487</v>
      </c>
      <c r="H149" s="460">
        <f t="shared" si="30"/>
        <v>-26.299073196648806</v>
      </c>
      <c r="I149" s="380">
        <f t="shared" si="31"/>
        <v>3.269533698891639</v>
      </c>
      <c r="J149" s="380">
        <f t="shared" si="32"/>
        <v>33.269533698891635</v>
      </c>
      <c r="K149" s="461">
        <f t="shared" si="33"/>
        <v>-8.749579019655252</v>
      </c>
      <c r="L149" s="488">
        <f t="shared" si="34"/>
        <v>-171456.7504691643</v>
      </c>
      <c r="M149" s="488"/>
      <c r="N149" s="478">
        <v>423</v>
      </c>
      <c r="O149" s="479" t="s">
        <v>942</v>
      </c>
      <c r="P149" s="471">
        <v>0</v>
      </c>
      <c r="Q149" s="472" t="s">
        <v>764</v>
      </c>
      <c r="X149" s="473" t="s">
        <v>187</v>
      </c>
      <c r="Y149" s="474">
        <v>19.5</v>
      </c>
      <c r="Z149" s="475">
        <v>69739790.1</v>
      </c>
      <c r="AA149" s="476">
        <f t="shared" si="35"/>
        <v>357639949.23076916</v>
      </c>
      <c r="AB149" s="475">
        <v>3736230.2360538337</v>
      </c>
      <c r="AE149" s="489">
        <v>423</v>
      </c>
      <c r="AF149">
        <f t="shared" si="36"/>
        <v>0</v>
      </c>
      <c r="AH149" s="477">
        <v>69417.12222716695</v>
      </c>
      <c r="AI149">
        <f t="shared" si="37"/>
        <v>69417122.22716695</v>
      </c>
      <c r="AJ149" s="490">
        <v>3741.91628</v>
      </c>
      <c r="AK149">
        <f t="shared" si="38"/>
        <v>3741916.28</v>
      </c>
    </row>
    <row r="150" spans="1:37" ht="15" customHeight="1">
      <c r="A150" s="453" t="s">
        <v>943</v>
      </c>
      <c r="B150" s="467">
        <v>10133</v>
      </c>
      <c r="C150" s="468">
        <f t="shared" si="26"/>
        <v>28636211.24265116</v>
      </c>
      <c r="D150" s="468">
        <f t="shared" si="27"/>
        <v>683689.9191582548</v>
      </c>
      <c r="E150" s="468">
        <v>0</v>
      </c>
      <c r="F150" s="468">
        <f t="shared" si="28"/>
        <v>29319901.161809415</v>
      </c>
      <c r="G150" s="469">
        <f t="shared" si="29"/>
        <v>2893.5064799969814</v>
      </c>
      <c r="H150" s="460">
        <f t="shared" si="30"/>
        <v>893.6135200030185</v>
      </c>
      <c r="I150" s="380">
        <f t="shared" si="31"/>
      </c>
      <c r="J150" s="380">
        <f t="shared" si="32"/>
      </c>
      <c r="K150" s="461">
        <f t="shared" si="33"/>
        <v>714.8908160024148</v>
      </c>
      <c r="L150" s="488">
        <f t="shared" si="34"/>
        <v>7243988.638552469</v>
      </c>
      <c r="M150" s="488"/>
      <c r="N150" s="478">
        <v>425</v>
      </c>
      <c r="O150" s="479" t="s">
        <v>944</v>
      </c>
      <c r="P150" s="471">
        <v>0</v>
      </c>
      <c r="Q150" s="472" t="s">
        <v>757</v>
      </c>
      <c r="X150" s="473" t="s">
        <v>188</v>
      </c>
      <c r="Y150" s="474">
        <v>21.5</v>
      </c>
      <c r="Z150" s="475">
        <v>31016551.22</v>
      </c>
      <c r="AA150" s="476">
        <f t="shared" si="35"/>
        <v>144263028.93023255</v>
      </c>
      <c r="AB150" s="475">
        <v>683689.9191582548</v>
      </c>
      <c r="AE150" s="489">
        <v>425</v>
      </c>
      <c r="AF150">
        <f t="shared" si="36"/>
        <v>0</v>
      </c>
      <c r="AH150" s="477">
        <v>30892.463110594632</v>
      </c>
      <c r="AI150">
        <f t="shared" si="37"/>
        <v>30892463.11059463</v>
      </c>
      <c r="AJ150" s="490">
        <v>684.730404</v>
      </c>
      <c r="AK150">
        <f t="shared" si="38"/>
        <v>684730.404</v>
      </c>
    </row>
    <row r="151" spans="1:37" ht="15" customHeight="1">
      <c r="A151" s="453" t="s">
        <v>945</v>
      </c>
      <c r="B151" s="467">
        <v>12150</v>
      </c>
      <c r="C151" s="468">
        <f t="shared" si="26"/>
        <v>33517511.69704652</v>
      </c>
      <c r="D151" s="468">
        <f t="shared" si="27"/>
        <v>1323879.4840520541</v>
      </c>
      <c r="E151" s="468">
        <v>0</v>
      </c>
      <c r="F151" s="468">
        <f t="shared" si="28"/>
        <v>34841391.18109857</v>
      </c>
      <c r="G151" s="469">
        <f t="shared" si="29"/>
        <v>2867.6042124360965</v>
      </c>
      <c r="H151" s="460">
        <f t="shared" si="30"/>
        <v>919.5157875639034</v>
      </c>
      <c r="I151" s="380">
        <f t="shared" si="31"/>
      </c>
      <c r="J151" s="380">
        <f t="shared" si="32"/>
      </c>
      <c r="K151" s="461">
        <f t="shared" si="33"/>
        <v>735.6126300511228</v>
      </c>
      <c r="L151" s="488">
        <f t="shared" si="34"/>
        <v>8937693.45512114</v>
      </c>
      <c r="M151" s="488"/>
      <c r="N151" s="478">
        <v>426</v>
      </c>
      <c r="O151" s="389" t="s">
        <v>945</v>
      </c>
      <c r="P151" s="471">
        <v>0</v>
      </c>
      <c r="Q151" s="472" t="s">
        <v>826</v>
      </c>
      <c r="X151" s="473" t="s">
        <v>189</v>
      </c>
      <c r="Y151" s="474">
        <v>21.5</v>
      </c>
      <c r="Z151" s="475">
        <v>36303602.09</v>
      </c>
      <c r="AA151" s="476">
        <f t="shared" si="35"/>
        <v>168853963.20930234</v>
      </c>
      <c r="AB151" s="475">
        <v>1323879.4840520541</v>
      </c>
      <c r="AE151" s="489">
        <v>426</v>
      </c>
      <c r="AF151">
        <f t="shared" si="36"/>
        <v>0</v>
      </c>
      <c r="AH151" s="477">
        <v>36282.38997250048</v>
      </c>
      <c r="AI151">
        <f t="shared" si="37"/>
        <v>36282389.97250048</v>
      </c>
      <c r="AJ151" s="490">
        <v>1325.8942519999998</v>
      </c>
      <c r="AK151">
        <f t="shared" si="38"/>
        <v>1325894.2519999999</v>
      </c>
    </row>
    <row r="152" spans="1:37" ht="15" customHeight="1">
      <c r="A152" s="466" t="s">
        <v>946</v>
      </c>
      <c r="B152" s="467">
        <v>16150</v>
      </c>
      <c r="C152" s="468">
        <f t="shared" si="26"/>
        <v>44388983.53843903</v>
      </c>
      <c r="D152" s="468">
        <f t="shared" si="27"/>
        <v>3307964.5113493097</v>
      </c>
      <c r="E152" s="468">
        <v>0</v>
      </c>
      <c r="F152" s="468">
        <f t="shared" si="28"/>
        <v>47696948.04978834</v>
      </c>
      <c r="G152" s="469">
        <f t="shared" si="29"/>
        <v>2953.371396271724</v>
      </c>
      <c r="H152" s="460">
        <f t="shared" si="30"/>
        <v>833.7486037282761</v>
      </c>
      <c r="I152" s="380">
        <f t="shared" si="31"/>
      </c>
      <c r="J152" s="380">
        <f t="shared" si="32"/>
      </c>
      <c r="K152" s="461">
        <f t="shared" si="33"/>
        <v>666.9988829826209</v>
      </c>
      <c r="L152" s="488">
        <f t="shared" si="34"/>
        <v>10772031.960169328</v>
      </c>
      <c r="M152" s="488"/>
      <c r="N152" s="470">
        <v>430</v>
      </c>
      <c r="O152" s="389" t="s">
        <v>946</v>
      </c>
      <c r="P152" s="471">
        <v>0</v>
      </c>
      <c r="Q152" s="472" t="s">
        <v>764</v>
      </c>
      <c r="X152" s="473" t="s">
        <v>191</v>
      </c>
      <c r="Y152" s="474">
        <v>20.5</v>
      </c>
      <c r="Z152" s="475">
        <v>45842527.08</v>
      </c>
      <c r="AA152" s="476">
        <f t="shared" si="35"/>
        <v>223622083.31707317</v>
      </c>
      <c r="AB152" s="475">
        <v>3307964.5113493097</v>
      </c>
      <c r="AE152" s="489">
        <v>430</v>
      </c>
      <c r="AF152">
        <f t="shared" si="36"/>
        <v>0</v>
      </c>
      <c r="AH152" s="477">
        <v>45717.01983315413</v>
      </c>
      <c r="AI152">
        <f t="shared" si="37"/>
        <v>45717019.833154134</v>
      </c>
      <c r="AJ152" s="490">
        <v>3312.998792</v>
      </c>
      <c r="AK152">
        <f t="shared" si="38"/>
        <v>3312998.792</v>
      </c>
    </row>
    <row r="153" spans="1:37" ht="15" customHeight="1">
      <c r="A153" s="453" t="s">
        <v>947</v>
      </c>
      <c r="B153" s="467">
        <v>8028</v>
      </c>
      <c r="C153" s="468">
        <f t="shared" si="26"/>
        <v>23433536.296906978</v>
      </c>
      <c r="D153" s="468">
        <f t="shared" si="27"/>
        <v>1476724.5582411257</v>
      </c>
      <c r="E153" s="468">
        <v>0</v>
      </c>
      <c r="F153" s="468">
        <f t="shared" si="28"/>
        <v>24910260.855148103</v>
      </c>
      <c r="G153" s="469">
        <f t="shared" si="29"/>
        <v>3102.922378568523</v>
      </c>
      <c r="H153" s="460">
        <f t="shared" si="30"/>
        <v>684.1976214314768</v>
      </c>
      <c r="I153" s="380">
        <f t="shared" si="31"/>
      </c>
      <c r="J153" s="380">
        <f t="shared" si="32"/>
      </c>
      <c r="K153" s="461">
        <f t="shared" si="33"/>
        <v>547.3580971451814</v>
      </c>
      <c r="L153" s="488">
        <f t="shared" si="34"/>
        <v>4394190.803881517</v>
      </c>
      <c r="M153" s="488"/>
      <c r="N153" s="478">
        <v>433</v>
      </c>
      <c r="O153" s="389" t="s">
        <v>947</v>
      </c>
      <c r="P153" s="471">
        <v>0</v>
      </c>
      <c r="Q153" s="472" t="s">
        <v>779</v>
      </c>
      <c r="U153" s="492"/>
      <c r="X153" s="473" t="s">
        <v>192</v>
      </c>
      <c r="Y153" s="474">
        <v>21.5</v>
      </c>
      <c r="Z153" s="475">
        <v>25381412.11</v>
      </c>
      <c r="AA153" s="476">
        <f t="shared" si="35"/>
        <v>118053079.58139534</v>
      </c>
      <c r="AB153" s="475">
        <v>1476724.5582411257</v>
      </c>
      <c r="AE153" s="489">
        <v>433</v>
      </c>
      <c r="AF153">
        <f t="shared" si="36"/>
        <v>0</v>
      </c>
      <c r="AH153" s="477">
        <v>25192.074174710837</v>
      </c>
      <c r="AI153">
        <f t="shared" si="37"/>
        <v>25192074.174710836</v>
      </c>
      <c r="AJ153" s="490">
        <v>1478.971936</v>
      </c>
      <c r="AK153">
        <f t="shared" si="38"/>
        <v>1478971.936</v>
      </c>
    </row>
    <row r="154" spans="1:37" ht="15" customHeight="1">
      <c r="A154" s="453" t="s">
        <v>948</v>
      </c>
      <c r="B154" s="467">
        <v>15085</v>
      </c>
      <c r="C154" s="468">
        <f t="shared" si="26"/>
        <v>47465561.97903798</v>
      </c>
      <c r="D154" s="468">
        <f t="shared" si="27"/>
        <v>6321240.810840928</v>
      </c>
      <c r="E154" s="468">
        <f>3.1*T154/100/2</f>
        <v>1795143.784</v>
      </c>
      <c r="F154" s="468">
        <f t="shared" si="28"/>
        <v>55581946.57387891</v>
      </c>
      <c r="G154" s="469">
        <f t="shared" si="29"/>
        <v>3684.583796743713</v>
      </c>
      <c r="H154" s="460">
        <f t="shared" si="30"/>
        <v>102.53620325628708</v>
      </c>
      <c r="I154" s="380">
        <f t="shared" si="31"/>
      </c>
      <c r="J154" s="380">
        <f t="shared" si="32"/>
      </c>
      <c r="K154" s="461">
        <f t="shared" si="33"/>
        <v>82.02896260502968</v>
      </c>
      <c r="L154" s="488">
        <f t="shared" si="34"/>
        <v>1237406.9008968726</v>
      </c>
      <c r="M154" s="488"/>
      <c r="N154" s="478">
        <v>434</v>
      </c>
      <c r="O154" s="479" t="s">
        <v>949</v>
      </c>
      <c r="P154" s="471">
        <v>1</v>
      </c>
      <c r="Q154" s="472" t="s">
        <v>762</v>
      </c>
      <c r="T154" s="493">
        <v>115815728</v>
      </c>
      <c r="U154" s="494"/>
      <c r="X154" s="473" t="s">
        <v>193</v>
      </c>
      <c r="Y154" s="474">
        <v>19.75</v>
      </c>
      <c r="Z154" s="475">
        <v>47226440.76</v>
      </c>
      <c r="AA154" s="476">
        <f t="shared" si="35"/>
        <v>239121219.0379747</v>
      </c>
      <c r="AB154" s="475">
        <v>6321240.810840928</v>
      </c>
      <c r="AE154" s="489">
        <v>434</v>
      </c>
      <c r="AF154">
        <f t="shared" si="36"/>
        <v>0</v>
      </c>
      <c r="AH154" s="477">
        <v>47200.957525948324</v>
      </c>
      <c r="AI154">
        <f t="shared" si="37"/>
        <v>47200957.52594832</v>
      </c>
      <c r="AJ154" s="490">
        <v>6330.860896</v>
      </c>
      <c r="AK154">
        <f t="shared" si="38"/>
        <v>6330860.896</v>
      </c>
    </row>
    <row r="155" spans="1:37" ht="15" customHeight="1">
      <c r="A155" s="453" t="s">
        <v>950</v>
      </c>
      <c r="B155" s="467">
        <v>734</v>
      </c>
      <c r="C155" s="468">
        <f t="shared" si="26"/>
        <v>1843084.1095675677</v>
      </c>
      <c r="D155" s="468">
        <f t="shared" si="27"/>
        <v>288942.46411917504</v>
      </c>
      <c r="E155" s="468">
        <v>0</v>
      </c>
      <c r="F155" s="468">
        <f t="shared" si="28"/>
        <v>2132026.5736867427</v>
      </c>
      <c r="G155" s="469">
        <f t="shared" si="29"/>
        <v>2904.668356521448</v>
      </c>
      <c r="H155" s="460">
        <f t="shared" si="30"/>
        <v>882.4516434785519</v>
      </c>
      <c r="I155" s="380">
        <f t="shared" si="31"/>
      </c>
      <c r="J155" s="380">
        <f t="shared" si="32"/>
      </c>
      <c r="K155" s="461">
        <f t="shared" si="33"/>
        <v>705.9613147828416</v>
      </c>
      <c r="L155" s="488">
        <f t="shared" si="34"/>
        <v>518175.6050506057</v>
      </c>
      <c r="M155" s="488"/>
      <c r="N155" s="478">
        <v>435</v>
      </c>
      <c r="O155" s="389" t="s">
        <v>950</v>
      </c>
      <c r="P155" s="471">
        <v>0</v>
      </c>
      <c r="Q155" s="472" t="s">
        <v>790</v>
      </c>
      <c r="X155" s="473" t="s">
        <v>194</v>
      </c>
      <c r="Y155" s="474">
        <v>18.5</v>
      </c>
      <c r="Z155" s="475">
        <v>1717735.82</v>
      </c>
      <c r="AA155" s="476">
        <f t="shared" si="35"/>
        <v>9285058.486486487</v>
      </c>
      <c r="AB155" s="475">
        <v>288942.46411917504</v>
      </c>
      <c r="AE155" s="489">
        <v>435</v>
      </c>
      <c r="AF155">
        <f t="shared" si="36"/>
        <v>0</v>
      </c>
      <c r="AH155" s="477">
        <v>1669.3270080168863</v>
      </c>
      <c r="AI155">
        <f t="shared" si="37"/>
        <v>1669327.0080168864</v>
      </c>
      <c r="AJ155" s="490">
        <v>289.38219599999996</v>
      </c>
      <c r="AK155">
        <f t="shared" si="38"/>
        <v>289382.19599999994</v>
      </c>
    </row>
    <row r="156" spans="1:37" ht="15" customHeight="1">
      <c r="A156" s="453" t="s">
        <v>951</v>
      </c>
      <c r="B156" s="467">
        <v>2081</v>
      </c>
      <c r="C156" s="468">
        <f t="shared" si="26"/>
        <v>5079195.46552381</v>
      </c>
      <c r="D156" s="468">
        <f t="shared" si="27"/>
        <v>159741.13530409968</v>
      </c>
      <c r="E156" s="468">
        <v>0</v>
      </c>
      <c r="F156" s="468">
        <f t="shared" si="28"/>
        <v>5238936.60082791</v>
      </c>
      <c r="G156" s="469">
        <f t="shared" si="29"/>
        <v>2517.5091786775156</v>
      </c>
      <c r="H156" s="460">
        <f t="shared" si="30"/>
        <v>1269.6108213224843</v>
      </c>
      <c r="I156" s="380">
        <f t="shared" si="31"/>
      </c>
      <c r="J156" s="380">
        <f t="shared" si="32"/>
      </c>
      <c r="K156" s="461">
        <f t="shared" si="33"/>
        <v>1015.6886570579875</v>
      </c>
      <c r="L156" s="488">
        <f t="shared" si="34"/>
        <v>2113648.095337672</v>
      </c>
      <c r="M156" s="488"/>
      <c r="N156" s="478">
        <v>436</v>
      </c>
      <c r="O156" s="389" t="s">
        <v>951</v>
      </c>
      <c r="P156" s="471">
        <v>0</v>
      </c>
      <c r="Q156" s="472" t="s">
        <v>757</v>
      </c>
      <c r="X156" s="473" t="s">
        <v>195</v>
      </c>
      <c r="Y156" s="474">
        <v>21</v>
      </c>
      <c r="Z156" s="475">
        <v>5373456.16</v>
      </c>
      <c r="AA156" s="476">
        <f t="shared" si="35"/>
        <v>25587886.476190478</v>
      </c>
      <c r="AB156" s="475">
        <v>159741.13530409968</v>
      </c>
      <c r="AE156" s="489">
        <v>436</v>
      </c>
      <c r="AF156">
        <f t="shared" si="36"/>
        <v>0</v>
      </c>
      <c r="AH156" s="477">
        <v>5282.71714165863</v>
      </c>
      <c r="AI156">
        <f t="shared" si="37"/>
        <v>5282717.14165863</v>
      </c>
      <c r="AJ156" s="490">
        <v>159.98424</v>
      </c>
      <c r="AK156">
        <f t="shared" si="38"/>
        <v>159984.24</v>
      </c>
    </row>
    <row r="157" spans="1:37" ht="15" customHeight="1">
      <c r="A157" s="453" t="s">
        <v>952</v>
      </c>
      <c r="B157" s="467">
        <v>5264</v>
      </c>
      <c r="C157" s="468">
        <f t="shared" si="26"/>
        <v>14151322.642820515</v>
      </c>
      <c r="D157" s="468">
        <f t="shared" si="27"/>
        <v>354295.5813938383</v>
      </c>
      <c r="E157" s="468">
        <v>0</v>
      </c>
      <c r="F157" s="468">
        <f t="shared" si="28"/>
        <v>14505618.224214353</v>
      </c>
      <c r="G157" s="469">
        <f t="shared" si="29"/>
        <v>2755.626562350751</v>
      </c>
      <c r="H157" s="460">
        <f t="shared" si="30"/>
        <v>1031.4934376492488</v>
      </c>
      <c r="I157" s="380">
        <f t="shared" si="31"/>
      </c>
      <c r="J157" s="380">
        <f t="shared" si="32"/>
      </c>
      <c r="K157" s="461">
        <f t="shared" si="33"/>
        <v>825.194750119399</v>
      </c>
      <c r="L157" s="488">
        <f t="shared" si="34"/>
        <v>4343825.164628517</v>
      </c>
      <c r="M157" s="488"/>
      <c r="N157" s="478">
        <v>440</v>
      </c>
      <c r="O157" s="479" t="s">
        <v>953</v>
      </c>
      <c r="P157" s="471">
        <v>3</v>
      </c>
      <c r="Q157" s="472" t="s">
        <v>835</v>
      </c>
      <c r="X157" s="473" t="s">
        <v>196</v>
      </c>
      <c r="Y157" s="474">
        <v>19.5</v>
      </c>
      <c r="Z157" s="475">
        <v>13901803.1</v>
      </c>
      <c r="AA157" s="476">
        <f t="shared" si="35"/>
        <v>71291297.94871795</v>
      </c>
      <c r="AB157" s="475">
        <v>354295.5813938383</v>
      </c>
      <c r="AE157" s="489">
        <v>440</v>
      </c>
      <c r="AF157">
        <f t="shared" si="36"/>
        <v>0</v>
      </c>
      <c r="AH157" s="477">
        <v>13735.20331269654</v>
      </c>
      <c r="AI157">
        <f t="shared" si="37"/>
        <v>13735203.312696539</v>
      </c>
      <c r="AJ157" s="490">
        <v>354.83477200000004</v>
      </c>
      <c r="AK157">
        <f t="shared" si="38"/>
        <v>354834.77200000006</v>
      </c>
    </row>
    <row r="158" spans="1:37" ht="15" customHeight="1">
      <c r="A158" s="453" t="s">
        <v>954</v>
      </c>
      <c r="B158" s="467">
        <v>4747</v>
      </c>
      <c r="C158" s="468">
        <f t="shared" si="26"/>
        <v>12821183.855292683</v>
      </c>
      <c r="D158" s="468">
        <f t="shared" si="27"/>
        <v>1969698.9769465595</v>
      </c>
      <c r="E158" s="468">
        <v>0</v>
      </c>
      <c r="F158" s="468">
        <f t="shared" si="28"/>
        <v>14790882.832239242</v>
      </c>
      <c r="G158" s="469">
        <f t="shared" si="29"/>
        <v>3115.8379676088566</v>
      </c>
      <c r="H158" s="460">
        <f t="shared" si="30"/>
        <v>671.2820323911433</v>
      </c>
      <c r="I158" s="380">
        <f t="shared" si="31"/>
      </c>
      <c r="J158" s="380">
        <f t="shared" si="32"/>
      </c>
      <c r="K158" s="461">
        <f t="shared" si="33"/>
        <v>537.0256259129146</v>
      </c>
      <c r="L158" s="488">
        <f t="shared" si="34"/>
        <v>2549260.6462086057</v>
      </c>
      <c r="M158" s="488"/>
      <c r="N158" s="478">
        <v>441</v>
      </c>
      <c r="O158" s="389" t="s">
        <v>954</v>
      </c>
      <c r="P158" s="471">
        <v>0</v>
      </c>
      <c r="Q158" s="472" t="s">
        <v>837</v>
      </c>
      <c r="X158" s="473" t="s">
        <v>197</v>
      </c>
      <c r="Y158" s="474">
        <v>20.5</v>
      </c>
      <c r="Z158" s="475">
        <v>13241021.11</v>
      </c>
      <c r="AA158" s="476">
        <f t="shared" si="35"/>
        <v>64590346.87804878</v>
      </c>
      <c r="AB158" s="475">
        <v>1969698.9769465595</v>
      </c>
      <c r="AE158" s="489">
        <v>441</v>
      </c>
      <c r="AF158">
        <f t="shared" si="36"/>
        <v>0</v>
      </c>
      <c r="AH158" s="477">
        <v>13324.86357615223</v>
      </c>
      <c r="AI158">
        <f t="shared" si="37"/>
        <v>13324863.57615223</v>
      </c>
      <c r="AJ158" s="490">
        <v>1972.6965960000002</v>
      </c>
      <c r="AK158">
        <f t="shared" si="38"/>
        <v>1972696.5960000001</v>
      </c>
    </row>
    <row r="159" spans="1:37" s="480" customFormat="1" ht="15" customHeight="1">
      <c r="A159" s="466" t="s">
        <v>955</v>
      </c>
      <c r="B159" s="467">
        <v>46785</v>
      </c>
      <c r="C159" s="468">
        <f t="shared" si="26"/>
        <v>163910649.36146343</v>
      </c>
      <c r="D159" s="468">
        <f t="shared" si="27"/>
        <v>6936201.195181551</v>
      </c>
      <c r="E159" s="468">
        <v>0</v>
      </c>
      <c r="F159" s="468">
        <f t="shared" si="28"/>
        <v>170846850.55664498</v>
      </c>
      <c r="G159" s="469">
        <f t="shared" si="29"/>
        <v>3651.744160663567</v>
      </c>
      <c r="H159" s="460">
        <f t="shared" si="30"/>
        <v>135.37583933643282</v>
      </c>
      <c r="I159" s="380">
        <f t="shared" si="31"/>
      </c>
      <c r="J159" s="380">
        <f t="shared" si="32"/>
      </c>
      <c r="K159" s="461">
        <f t="shared" si="33"/>
        <v>108.30067146914627</v>
      </c>
      <c r="L159" s="488">
        <f t="shared" si="34"/>
        <v>5066846.914684008</v>
      </c>
      <c r="M159" s="488"/>
      <c r="N159" s="470">
        <v>444</v>
      </c>
      <c r="O159" s="479" t="s">
        <v>956</v>
      </c>
      <c r="P159" s="471">
        <v>1</v>
      </c>
      <c r="Q159" s="472" t="s">
        <v>762</v>
      </c>
      <c r="R159"/>
      <c r="S159" s="1"/>
      <c r="T159" s="1"/>
      <c r="U159" s="1"/>
      <c r="V159"/>
      <c r="W159"/>
      <c r="X159" s="473" t="s">
        <v>190</v>
      </c>
      <c r="Y159" s="474">
        <v>20.5</v>
      </c>
      <c r="Z159" s="475">
        <v>169278000.6</v>
      </c>
      <c r="AA159" s="476">
        <f t="shared" si="35"/>
        <v>825746344.3902439</v>
      </c>
      <c r="AB159" s="475">
        <v>6936201.195181551</v>
      </c>
      <c r="AC159" s="1"/>
      <c r="AD159"/>
      <c r="AE159" s="489">
        <v>444</v>
      </c>
      <c r="AF159">
        <f t="shared" si="36"/>
        <v>0</v>
      </c>
      <c r="AG159"/>
      <c r="AH159" s="477">
        <v>169828.33725818316</v>
      </c>
      <c r="AI159">
        <f t="shared" si="37"/>
        <v>169828337.25818315</v>
      </c>
      <c r="AJ159" s="490">
        <v>6946.757167999999</v>
      </c>
      <c r="AK159">
        <f t="shared" si="38"/>
        <v>6946757.168</v>
      </c>
    </row>
    <row r="160" spans="1:37" ht="15" customHeight="1">
      <c r="A160" s="466" t="s">
        <v>397</v>
      </c>
      <c r="B160" s="467">
        <v>15285</v>
      </c>
      <c r="C160" s="468">
        <f t="shared" si="26"/>
        <v>54976764.037898734</v>
      </c>
      <c r="D160" s="468">
        <f t="shared" si="27"/>
        <v>2310591.567903668</v>
      </c>
      <c r="E160" s="468">
        <v>0</v>
      </c>
      <c r="F160" s="468">
        <f t="shared" si="28"/>
        <v>57287355.6058024</v>
      </c>
      <c r="G160" s="469">
        <f t="shared" si="29"/>
        <v>3747.946065148996</v>
      </c>
      <c r="H160" s="460">
        <f t="shared" si="30"/>
        <v>39.173934851004105</v>
      </c>
      <c r="I160" s="380">
        <f t="shared" si="31"/>
      </c>
      <c r="J160" s="380">
        <f t="shared" si="32"/>
      </c>
      <c r="K160" s="461">
        <f t="shared" si="33"/>
        <v>31.339147880803285</v>
      </c>
      <c r="L160" s="488">
        <f t="shared" si="34"/>
        <v>479018.8753580782</v>
      </c>
      <c r="M160" s="488"/>
      <c r="N160" s="470">
        <v>445</v>
      </c>
      <c r="O160" s="479" t="s">
        <v>957</v>
      </c>
      <c r="P160" s="471">
        <v>3</v>
      </c>
      <c r="Q160" s="472" t="s">
        <v>764</v>
      </c>
      <c r="S160" s="480"/>
      <c r="T160" s="480"/>
      <c r="U160" s="480"/>
      <c r="X160" s="473" t="s">
        <v>397</v>
      </c>
      <c r="Y160" s="474">
        <v>19.75</v>
      </c>
      <c r="Z160" s="475">
        <v>54699803.01</v>
      </c>
      <c r="AA160" s="476">
        <f t="shared" si="35"/>
        <v>276961027.89873415</v>
      </c>
      <c r="AB160" s="475">
        <v>2310591.567903668</v>
      </c>
      <c r="AC160" s="480"/>
      <c r="AE160" s="489">
        <v>445</v>
      </c>
      <c r="AF160">
        <f t="shared" si="36"/>
        <v>0</v>
      </c>
      <c r="AH160" s="477">
        <v>54841.66091148424</v>
      </c>
      <c r="AI160">
        <f t="shared" si="37"/>
        <v>54841660.91148424</v>
      </c>
      <c r="AJ160" s="490">
        <v>2314.1079799999998</v>
      </c>
      <c r="AK160">
        <f t="shared" si="38"/>
        <v>2314107.98</v>
      </c>
    </row>
    <row r="161" spans="1:37" ht="15" customHeight="1">
      <c r="A161" s="453" t="s">
        <v>958</v>
      </c>
      <c r="B161" s="467">
        <v>5477</v>
      </c>
      <c r="C161" s="468">
        <f t="shared" si="26"/>
        <v>15882489.50390698</v>
      </c>
      <c r="D161" s="468">
        <f t="shared" si="27"/>
        <v>1105911.2426350275</v>
      </c>
      <c r="E161" s="468">
        <v>0</v>
      </c>
      <c r="F161" s="468">
        <f t="shared" si="28"/>
        <v>16988400.746542007</v>
      </c>
      <c r="G161" s="469">
        <f t="shared" si="29"/>
        <v>3101.77117884645</v>
      </c>
      <c r="H161" s="460">
        <f t="shared" si="30"/>
        <v>685.34882115355</v>
      </c>
      <c r="I161" s="380">
        <f t="shared" si="31"/>
      </c>
      <c r="J161" s="380">
        <f t="shared" si="32"/>
      </c>
      <c r="K161" s="461">
        <f t="shared" si="33"/>
        <v>548.27905692284</v>
      </c>
      <c r="L161" s="488">
        <f t="shared" si="34"/>
        <v>3002924.394766395</v>
      </c>
      <c r="M161" s="488"/>
      <c r="N161" s="478">
        <v>475</v>
      </c>
      <c r="O161" s="479" t="s">
        <v>959</v>
      </c>
      <c r="P161" s="471">
        <v>3</v>
      </c>
      <c r="Q161" s="472" t="s">
        <v>835</v>
      </c>
      <c r="X161" s="473" t="s">
        <v>198</v>
      </c>
      <c r="Y161" s="474">
        <v>21.5</v>
      </c>
      <c r="Z161" s="475">
        <v>17202696.44</v>
      </c>
      <c r="AA161" s="476">
        <f t="shared" si="35"/>
        <v>80012541.58139536</v>
      </c>
      <c r="AB161" s="475">
        <v>1105911.2426350275</v>
      </c>
      <c r="AD161" s="480"/>
      <c r="AE161" s="489">
        <v>475</v>
      </c>
      <c r="AF161">
        <f t="shared" si="36"/>
        <v>0</v>
      </c>
      <c r="AG161" s="480"/>
      <c r="AH161" s="477">
        <v>17093.23757725154</v>
      </c>
      <c r="AI161">
        <f t="shared" si="37"/>
        <v>17093237.577251542</v>
      </c>
      <c r="AJ161" s="490">
        <v>1107.594292</v>
      </c>
      <c r="AK161">
        <f t="shared" si="38"/>
        <v>1107594.292</v>
      </c>
    </row>
    <row r="162" spans="1:37" ht="15" customHeight="1">
      <c r="A162" s="453" t="s">
        <v>960</v>
      </c>
      <c r="B162" s="467">
        <v>1988</v>
      </c>
      <c r="C162" s="468">
        <f t="shared" si="26"/>
        <v>5563984.760650602</v>
      </c>
      <c r="D162" s="468">
        <f t="shared" si="27"/>
        <v>310138.6024245794</v>
      </c>
      <c r="E162" s="468">
        <v>0</v>
      </c>
      <c r="F162" s="468">
        <f t="shared" si="28"/>
        <v>5874123.363075182</v>
      </c>
      <c r="G162" s="469">
        <f t="shared" si="29"/>
        <v>2954.7904240820835</v>
      </c>
      <c r="H162" s="460">
        <f t="shared" si="30"/>
        <v>832.3295759179164</v>
      </c>
      <c r="I162" s="380">
        <f t="shared" si="31"/>
      </c>
      <c r="J162" s="380">
        <f t="shared" si="32"/>
      </c>
      <c r="K162" s="461">
        <f t="shared" si="33"/>
        <v>665.8636607343332</v>
      </c>
      <c r="L162" s="488">
        <f t="shared" si="34"/>
        <v>1323736.9575398543</v>
      </c>
      <c r="M162" s="488"/>
      <c r="N162" s="478">
        <v>480</v>
      </c>
      <c r="O162" s="389" t="s">
        <v>960</v>
      </c>
      <c r="P162" s="471">
        <v>0</v>
      </c>
      <c r="Q162" s="472" t="s">
        <v>764</v>
      </c>
      <c r="X162" s="473" t="s">
        <v>199</v>
      </c>
      <c r="Y162" s="474">
        <v>20.75</v>
      </c>
      <c r="Z162" s="475">
        <v>5816256.11</v>
      </c>
      <c r="AA162" s="476">
        <f t="shared" si="35"/>
        <v>28030149.927710842</v>
      </c>
      <c r="AB162" s="475">
        <v>310138.6024245794</v>
      </c>
      <c r="AE162" s="489">
        <v>480</v>
      </c>
      <c r="AF162">
        <f t="shared" si="36"/>
        <v>0</v>
      </c>
      <c r="AH162" s="477">
        <v>5735.7356899001215</v>
      </c>
      <c r="AI162">
        <f t="shared" si="37"/>
        <v>5735735.689900122</v>
      </c>
      <c r="AJ162" s="490">
        <v>310.61059199999994</v>
      </c>
      <c r="AK162">
        <f t="shared" si="38"/>
        <v>310610.59199999995</v>
      </c>
    </row>
    <row r="163" spans="1:37" ht="15" customHeight="1">
      <c r="A163" s="466" t="s">
        <v>961</v>
      </c>
      <c r="B163" s="467">
        <v>9656</v>
      </c>
      <c r="C163" s="468">
        <f t="shared" si="26"/>
        <v>35163377.5599759</v>
      </c>
      <c r="D163" s="468">
        <f t="shared" si="27"/>
        <v>1579092.1244628134</v>
      </c>
      <c r="E163" s="468">
        <v>0</v>
      </c>
      <c r="F163" s="468">
        <f t="shared" si="28"/>
        <v>36742469.68443871</v>
      </c>
      <c r="G163" s="469">
        <f t="shared" si="29"/>
        <v>3805.143919266644</v>
      </c>
      <c r="H163" s="460">
        <f t="shared" si="30"/>
        <v>-18.023919266644043</v>
      </c>
      <c r="I163" s="380">
        <f t="shared" si="31"/>
        <v>2.891699723905755</v>
      </c>
      <c r="J163" s="380">
        <f t="shared" si="32"/>
        <v>32.89169972390575</v>
      </c>
      <c r="K163" s="461">
        <f t="shared" si="33"/>
        <v>-5.9283734036637545</v>
      </c>
      <c r="L163" s="488">
        <f t="shared" si="34"/>
        <v>-57244.37358577721</v>
      </c>
      <c r="M163" s="488"/>
      <c r="N163" s="470">
        <v>481</v>
      </c>
      <c r="O163" s="389" t="s">
        <v>961</v>
      </c>
      <c r="P163" s="471">
        <v>0</v>
      </c>
      <c r="Q163" s="472" t="s">
        <v>764</v>
      </c>
      <c r="X163" s="473" t="s">
        <v>200</v>
      </c>
      <c r="Y163" s="474">
        <v>20.75</v>
      </c>
      <c r="Z163" s="475">
        <v>36757686.87</v>
      </c>
      <c r="AA163" s="476">
        <f t="shared" si="35"/>
        <v>177145478.89156625</v>
      </c>
      <c r="AB163" s="475">
        <v>1579092.1244628134</v>
      </c>
      <c r="AE163" s="489">
        <v>481</v>
      </c>
      <c r="AF163">
        <f t="shared" si="36"/>
        <v>0</v>
      </c>
      <c r="AH163" s="477">
        <v>36838.49637319206</v>
      </c>
      <c r="AI163">
        <f t="shared" si="37"/>
        <v>36838496.37319206</v>
      </c>
      <c r="AJ163" s="490">
        <v>1581.495292</v>
      </c>
      <c r="AK163">
        <f t="shared" si="38"/>
        <v>1581495.2920000001</v>
      </c>
    </row>
    <row r="164" spans="1:37" ht="15" customHeight="1">
      <c r="A164" s="453" t="s">
        <v>962</v>
      </c>
      <c r="B164" s="467">
        <v>1119</v>
      </c>
      <c r="C164" s="468">
        <f t="shared" si="26"/>
        <v>1991053.5298604653</v>
      </c>
      <c r="D164" s="468">
        <f t="shared" si="27"/>
        <v>120217.13356161522</v>
      </c>
      <c r="E164" s="468">
        <v>0</v>
      </c>
      <c r="F164" s="468">
        <f t="shared" si="28"/>
        <v>2111270.6634220807</v>
      </c>
      <c r="G164" s="469">
        <f t="shared" si="29"/>
        <v>1886.7476884915825</v>
      </c>
      <c r="H164" s="460">
        <f t="shared" si="30"/>
        <v>1900.3723115084174</v>
      </c>
      <c r="I164" s="380">
        <f t="shared" si="31"/>
      </c>
      <c r="J164" s="380">
        <f t="shared" si="32"/>
      </c>
      <c r="K164" s="461">
        <f t="shared" si="33"/>
        <v>1520.297849206734</v>
      </c>
      <c r="L164" s="488">
        <f t="shared" si="34"/>
        <v>1701213.2932623355</v>
      </c>
      <c r="M164" s="488"/>
      <c r="N164" s="478">
        <v>483</v>
      </c>
      <c r="O164" s="389" t="s">
        <v>962</v>
      </c>
      <c r="P164" s="471">
        <v>0</v>
      </c>
      <c r="Q164" s="472" t="s">
        <v>757</v>
      </c>
      <c r="S164" s="480"/>
      <c r="T164" s="480"/>
      <c r="U164" s="480"/>
      <c r="X164" s="473" t="s">
        <v>201</v>
      </c>
      <c r="Y164" s="474">
        <v>21.5</v>
      </c>
      <c r="Z164" s="475">
        <v>2156556.72</v>
      </c>
      <c r="AA164" s="476">
        <f t="shared" si="35"/>
        <v>10030496.372093024</v>
      </c>
      <c r="AB164" s="475">
        <v>120217.13356161522</v>
      </c>
      <c r="AC164" s="480"/>
      <c r="AE164" s="489">
        <v>483</v>
      </c>
      <c r="AF164">
        <f t="shared" si="36"/>
        <v>0</v>
      </c>
      <c r="AH164" s="477">
        <v>2168.9524373024506</v>
      </c>
      <c r="AI164">
        <f t="shared" si="37"/>
        <v>2168952.4373024506</v>
      </c>
      <c r="AJ164" s="490">
        <v>120.40008799999998</v>
      </c>
      <c r="AK164">
        <f t="shared" si="38"/>
        <v>120400.08799999999</v>
      </c>
    </row>
    <row r="165" spans="1:37" s="5" customFormat="1" ht="15" customHeight="1">
      <c r="A165" s="453" t="s">
        <v>963</v>
      </c>
      <c r="B165" s="467">
        <v>3156</v>
      </c>
      <c r="C165" s="468">
        <f t="shared" si="26"/>
        <v>7778060.340769231</v>
      </c>
      <c r="D165" s="468">
        <f t="shared" si="27"/>
        <v>835796.7129116508</v>
      </c>
      <c r="E165" s="468">
        <v>0</v>
      </c>
      <c r="F165" s="468">
        <f t="shared" si="28"/>
        <v>8613857.053680882</v>
      </c>
      <c r="G165" s="469">
        <f t="shared" si="29"/>
        <v>2729.3590157417243</v>
      </c>
      <c r="H165" s="460">
        <f t="shared" si="30"/>
        <v>1057.7609842582756</v>
      </c>
      <c r="I165" s="380">
        <f t="shared" si="31"/>
      </c>
      <c r="J165" s="380">
        <f t="shared" si="32"/>
      </c>
      <c r="K165" s="461">
        <f t="shared" si="33"/>
        <v>846.2087874066206</v>
      </c>
      <c r="L165" s="488">
        <f t="shared" si="34"/>
        <v>2670634.9330552947</v>
      </c>
      <c r="M165" s="488"/>
      <c r="N165" s="478">
        <v>484</v>
      </c>
      <c r="O165" s="479" t="s">
        <v>964</v>
      </c>
      <c r="P165" s="471">
        <v>0</v>
      </c>
      <c r="Q165" s="472" t="s">
        <v>774</v>
      </c>
      <c r="R165"/>
      <c r="S165"/>
      <c r="T165"/>
      <c r="U165"/>
      <c r="V165"/>
      <c r="W165"/>
      <c r="X165" s="473" t="s">
        <v>202</v>
      </c>
      <c r="Y165" s="474">
        <v>19.5</v>
      </c>
      <c r="Z165" s="475">
        <v>7640915.7</v>
      </c>
      <c r="AA165" s="476">
        <f t="shared" si="35"/>
        <v>39184183.07692308</v>
      </c>
      <c r="AB165" s="475">
        <v>835796.7129116508</v>
      </c>
      <c r="AC165"/>
      <c r="AD165"/>
      <c r="AE165" s="489">
        <v>484</v>
      </c>
      <c r="AF165">
        <f t="shared" si="36"/>
        <v>0</v>
      </c>
      <c r="AG165"/>
      <c r="AH165" s="477">
        <v>7651.213869099295</v>
      </c>
      <c r="AI165">
        <f t="shared" si="37"/>
        <v>7651213.869099295</v>
      </c>
      <c r="AJ165" s="490">
        <v>837.068684</v>
      </c>
      <c r="AK165">
        <f t="shared" si="38"/>
        <v>837068.684</v>
      </c>
    </row>
    <row r="166" spans="1:37" ht="15" customHeight="1">
      <c r="A166" s="453" t="s">
        <v>965</v>
      </c>
      <c r="B166" s="467">
        <v>1992</v>
      </c>
      <c r="C166" s="468">
        <f t="shared" si="26"/>
        <v>4460571.29215</v>
      </c>
      <c r="D166" s="468">
        <f t="shared" si="27"/>
        <v>782244.4443197151</v>
      </c>
      <c r="E166" s="468">
        <v>0</v>
      </c>
      <c r="F166" s="468">
        <f t="shared" si="28"/>
        <v>5242815.736469715</v>
      </c>
      <c r="G166" s="469">
        <f t="shared" si="29"/>
        <v>2631.9356106775676</v>
      </c>
      <c r="H166" s="460">
        <f t="shared" si="30"/>
        <v>1155.1843893224323</v>
      </c>
      <c r="I166" s="380">
        <f t="shared" si="31"/>
      </c>
      <c r="J166" s="380">
        <f t="shared" si="32"/>
      </c>
      <c r="K166" s="461">
        <f t="shared" si="33"/>
        <v>924.1475114579458</v>
      </c>
      <c r="L166" s="488">
        <f t="shared" si="34"/>
        <v>1840901.842824228</v>
      </c>
      <c r="M166" s="488"/>
      <c r="N166" s="478">
        <v>489</v>
      </c>
      <c r="O166" s="389" t="s">
        <v>965</v>
      </c>
      <c r="P166" s="471">
        <v>0</v>
      </c>
      <c r="Q166" s="472" t="s">
        <v>788</v>
      </c>
      <c r="X166" s="473" t="s">
        <v>203</v>
      </c>
      <c r="Y166" s="474">
        <v>20</v>
      </c>
      <c r="Z166" s="475">
        <v>4494278.38</v>
      </c>
      <c r="AA166" s="476">
        <f t="shared" si="35"/>
        <v>22471391.9</v>
      </c>
      <c r="AB166" s="475">
        <v>782244.4443197151</v>
      </c>
      <c r="AE166" s="489">
        <v>489</v>
      </c>
      <c r="AF166">
        <f t="shared" si="36"/>
        <v>0</v>
      </c>
      <c r="AH166" s="477">
        <v>4515.373738743284</v>
      </c>
      <c r="AI166">
        <f t="shared" si="37"/>
        <v>4515373.738743284</v>
      </c>
      <c r="AJ166" s="490">
        <v>783.434916</v>
      </c>
      <c r="AK166">
        <f t="shared" si="38"/>
        <v>783434.9160000001</v>
      </c>
    </row>
    <row r="167" spans="1:37" ht="15" customHeight="1">
      <c r="A167" s="453" t="s">
        <v>966</v>
      </c>
      <c r="B167" s="467">
        <v>54261</v>
      </c>
      <c r="C167" s="468">
        <f t="shared" si="26"/>
        <v>164595422.8579756</v>
      </c>
      <c r="D167" s="468">
        <f t="shared" si="27"/>
        <v>13404161.398681575</v>
      </c>
      <c r="E167" s="468">
        <v>0</v>
      </c>
      <c r="F167" s="468">
        <f t="shared" si="28"/>
        <v>177999584.25665718</v>
      </c>
      <c r="G167" s="469">
        <f t="shared" si="29"/>
        <v>3280.433170355452</v>
      </c>
      <c r="H167" s="460">
        <f t="shared" si="30"/>
        <v>506.68682964454774</v>
      </c>
      <c r="I167" s="380">
        <f t="shared" si="31"/>
      </c>
      <c r="J167" s="380">
        <f t="shared" si="32"/>
      </c>
      <c r="K167" s="461">
        <f t="shared" si="33"/>
        <v>405.3494637156382</v>
      </c>
      <c r="L167" s="488">
        <f t="shared" si="34"/>
        <v>21994667.250674244</v>
      </c>
      <c r="M167" s="488"/>
      <c r="N167" s="478">
        <v>491</v>
      </c>
      <c r="O167" s="479" t="s">
        <v>967</v>
      </c>
      <c r="P167" s="471">
        <v>0</v>
      </c>
      <c r="Q167" s="472" t="s">
        <v>767</v>
      </c>
      <c r="X167" s="473" t="s">
        <v>204</v>
      </c>
      <c r="Y167" s="474">
        <v>20.5</v>
      </c>
      <c r="Z167" s="475">
        <v>169985197.41</v>
      </c>
      <c r="AA167" s="476">
        <f t="shared" si="35"/>
        <v>829196084.9268292</v>
      </c>
      <c r="AB167" s="475">
        <v>13404161.398681575</v>
      </c>
      <c r="AD167" s="5"/>
      <c r="AE167" s="489">
        <v>491</v>
      </c>
      <c r="AF167">
        <f t="shared" si="36"/>
        <v>0</v>
      </c>
      <c r="AG167" s="5"/>
      <c r="AH167" s="477">
        <v>170033.3895826162</v>
      </c>
      <c r="AI167">
        <f t="shared" si="37"/>
        <v>170033389.58261618</v>
      </c>
      <c r="AJ167" s="490">
        <v>13424.560744</v>
      </c>
      <c r="AK167">
        <f t="shared" si="38"/>
        <v>13424560.744</v>
      </c>
    </row>
    <row r="168" spans="1:37" ht="15" customHeight="1">
      <c r="A168" s="453" t="s">
        <v>968</v>
      </c>
      <c r="B168" s="467">
        <v>9019</v>
      </c>
      <c r="C168" s="468">
        <f t="shared" si="26"/>
        <v>24275406.460404765</v>
      </c>
      <c r="D168" s="468">
        <f t="shared" si="27"/>
        <v>753405.1418903866</v>
      </c>
      <c r="E168" s="468">
        <v>0</v>
      </c>
      <c r="F168" s="468">
        <f t="shared" si="28"/>
        <v>25028811.602295153</v>
      </c>
      <c r="G168" s="469">
        <f t="shared" si="29"/>
        <v>2775.1204792432814</v>
      </c>
      <c r="H168" s="460">
        <f t="shared" si="30"/>
        <v>1011.9995207567185</v>
      </c>
      <c r="I168" s="380">
        <f t="shared" si="31"/>
      </c>
      <c r="J168" s="380">
        <f t="shared" si="32"/>
      </c>
      <c r="K168" s="461">
        <f t="shared" si="33"/>
        <v>809.5996166053749</v>
      </c>
      <c r="L168" s="488">
        <f t="shared" si="34"/>
        <v>7301778.942163876</v>
      </c>
      <c r="M168" s="488"/>
      <c r="N168" s="478">
        <v>494</v>
      </c>
      <c r="O168" s="389" t="s">
        <v>968</v>
      </c>
      <c r="P168" s="471">
        <v>0</v>
      </c>
      <c r="Q168" s="472" t="s">
        <v>757</v>
      </c>
      <c r="X168" s="473" t="s">
        <v>205</v>
      </c>
      <c r="Y168" s="474">
        <v>21</v>
      </c>
      <c r="Z168" s="475">
        <v>25681790.21</v>
      </c>
      <c r="AA168" s="476">
        <f t="shared" si="35"/>
        <v>122294239.09523809</v>
      </c>
      <c r="AB168" s="475">
        <v>753405.1418903866</v>
      </c>
      <c r="AE168" s="489">
        <v>494</v>
      </c>
      <c r="AF168">
        <f t="shared" si="36"/>
        <v>0</v>
      </c>
      <c r="AH168" s="477">
        <v>25707.995946826097</v>
      </c>
      <c r="AI168">
        <f t="shared" si="37"/>
        <v>25707995.946826097</v>
      </c>
      <c r="AJ168" s="490">
        <v>754.551724</v>
      </c>
      <c r="AK168">
        <f t="shared" si="38"/>
        <v>754551.724</v>
      </c>
    </row>
    <row r="169" spans="1:37" ht="15" customHeight="1">
      <c r="A169" s="453" t="s">
        <v>969</v>
      </c>
      <c r="B169" s="467">
        <v>1636</v>
      </c>
      <c r="C169" s="468">
        <f t="shared" si="26"/>
        <v>3656916.2088409094</v>
      </c>
      <c r="D169" s="468">
        <f t="shared" si="27"/>
        <v>1094782.5989459825</v>
      </c>
      <c r="E169" s="468">
        <v>0</v>
      </c>
      <c r="F169" s="468">
        <f t="shared" si="28"/>
        <v>4751698.807786892</v>
      </c>
      <c r="G169" s="469">
        <f t="shared" si="29"/>
        <v>2904.461373952868</v>
      </c>
      <c r="H169" s="460">
        <f t="shared" si="30"/>
        <v>882.6586260471317</v>
      </c>
      <c r="I169" s="380">
        <f t="shared" si="31"/>
      </c>
      <c r="J169" s="380">
        <f t="shared" si="32"/>
      </c>
      <c r="K169" s="461">
        <f t="shared" si="33"/>
        <v>706.1269008377054</v>
      </c>
      <c r="L169" s="488">
        <f t="shared" si="34"/>
        <v>1155223.6097704861</v>
      </c>
      <c r="M169" s="488"/>
      <c r="N169" s="478">
        <v>495</v>
      </c>
      <c r="O169" s="389" t="s">
        <v>969</v>
      </c>
      <c r="P169" s="471">
        <v>0</v>
      </c>
      <c r="Q169" s="472" t="s">
        <v>790</v>
      </c>
      <c r="X169" s="473" t="s">
        <v>206</v>
      </c>
      <c r="Y169" s="474">
        <v>22</v>
      </c>
      <c r="Z169" s="475">
        <v>4053005.37</v>
      </c>
      <c r="AA169" s="476">
        <f t="shared" si="35"/>
        <v>18422751.681818184</v>
      </c>
      <c r="AB169" s="475">
        <v>1094782.5989459825</v>
      </c>
      <c r="AE169" s="489">
        <v>495</v>
      </c>
      <c r="AF169">
        <f t="shared" si="36"/>
        <v>0</v>
      </c>
      <c r="AH169" s="477">
        <v>4032.1618143623823</v>
      </c>
      <c r="AI169">
        <f t="shared" si="37"/>
        <v>4032161.8143623825</v>
      </c>
      <c r="AJ169" s="490">
        <v>1096.4487120000001</v>
      </c>
      <c r="AK169">
        <f t="shared" si="38"/>
        <v>1096448.712</v>
      </c>
    </row>
    <row r="170" spans="1:37" s="1" customFormat="1" ht="15" customHeight="1">
      <c r="A170" s="453" t="s">
        <v>970</v>
      </c>
      <c r="B170" s="467">
        <v>2332</v>
      </c>
      <c r="C170" s="468">
        <f t="shared" si="26"/>
        <v>6552255.847906977</v>
      </c>
      <c r="D170" s="468">
        <f t="shared" si="27"/>
        <v>711856.2657366054</v>
      </c>
      <c r="E170" s="468">
        <v>0</v>
      </c>
      <c r="F170" s="468">
        <f t="shared" si="28"/>
        <v>7264112.113643582</v>
      </c>
      <c r="G170" s="469">
        <f t="shared" si="29"/>
        <v>3114.9708892125136</v>
      </c>
      <c r="H170" s="460">
        <f t="shared" si="30"/>
        <v>672.1491107874863</v>
      </c>
      <c r="I170" s="380">
        <f t="shared" si="31"/>
      </c>
      <c r="J170" s="380">
        <f t="shared" si="32"/>
      </c>
      <c r="K170" s="461">
        <f t="shared" si="33"/>
        <v>537.719288629989</v>
      </c>
      <c r="L170" s="488">
        <f t="shared" si="34"/>
        <v>1253961.3810851343</v>
      </c>
      <c r="M170" s="488"/>
      <c r="N170" s="478">
        <v>498</v>
      </c>
      <c r="O170" s="389" t="s">
        <v>970</v>
      </c>
      <c r="P170" s="471">
        <v>0</v>
      </c>
      <c r="Q170" s="472" t="s">
        <v>770</v>
      </c>
      <c r="R170"/>
      <c r="S170" s="5"/>
      <c r="T170" s="5"/>
      <c r="U170" s="5"/>
      <c r="V170"/>
      <c r="W170"/>
      <c r="X170" s="473" t="s">
        <v>207</v>
      </c>
      <c r="Y170" s="474">
        <v>21.5</v>
      </c>
      <c r="Z170" s="475">
        <v>7096901.8</v>
      </c>
      <c r="AA170" s="476">
        <f t="shared" si="35"/>
        <v>33008845.58139535</v>
      </c>
      <c r="AB170" s="475">
        <v>711856.2657366054</v>
      </c>
      <c r="AC170" s="5"/>
      <c r="AD170"/>
      <c r="AE170" s="489">
        <v>498</v>
      </c>
      <c r="AF170">
        <f t="shared" si="36"/>
        <v>0</v>
      </c>
      <c r="AG170"/>
      <c r="AH170" s="477">
        <v>7066.950551235096</v>
      </c>
      <c r="AI170">
        <f t="shared" si="37"/>
        <v>7066950.5512350965</v>
      </c>
      <c r="AJ170" s="490">
        <v>712.939616</v>
      </c>
      <c r="AK170">
        <f t="shared" si="38"/>
        <v>712939.616</v>
      </c>
    </row>
    <row r="171" spans="1:37" ht="15" customHeight="1">
      <c r="A171" s="453" t="s">
        <v>971</v>
      </c>
      <c r="B171" s="467">
        <v>19384</v>
      </c>
      <c r="C171" s="468">
        <f t="shared" si="26"/>
        <v>66147774.960891575</v>
      </c>
      <c r="D171" s="468">
        <f t="shared" si="27"/>
        <v>2419305.1922715236</v>
      </c>
      <c r="E171" s="468">
        <v>0</v>
      </c>
      <c r="F171" s="468">
        <f t="shared" si="28"/>
        <v>68567080.1531631</v>
      </c>
      <c r="G171" s="469">
        <f t="shared" si="29"/>
        <v>3537.302938153276</v>
      </c>
      <c r="H171" s="460">
        <f t="shared" si="30"/>
        <v>249.81706184672385</v>
      </c>
      <c r="I171" s="380">
        <f t="shared" si="31"/>
      </c>
      <c r="J171" s="380">
        <f t="shared" si="32"/>
      </c>
      <c r="K171" s="461">
        <f t="shared" si="33"/>
        <v>199.8536494773791</v>
      </c>
      <c r="L171" s="488">
        <f t="shared" si="34"/>
        <v>3873963.1414695163</v>
      </c>
      <c r="M171" s="488"/>
      <c r="N171" s="478">
        <v>499</v>
      </c>
      <c r="O171" s="479" t="s">
        <v>972</v>
      </c>
      <c r="P171" s="471">
        <v>3</v>
      </c>
      <c r="Q171" s="472" t="s">
        <v>835</v>
      </c>
      <c r="X171" s="473" t="s">
        <v>208</v>
      </c>
      <c r="Y171" s="474">
        <v>20.75</v>
      </c>
      <c r="Z171" s="475">
        <v>69146918.41</v>
      </c>
      <c r="AA171" s="476">
        <f t="shared" si="35"/>
        <v>333238161.0120482</v>
      </c>
      <c r="AB171" s="475">
        <v>2419305.1922715236</v>
      </c>
      <c r="AE171" s="489">
        <v>499</v>
      </c>
      <c r="AF171">
        <f t="shared" si="36"/>
        <v>0</v>
      </c>
      <c r="AH171" s="477">
        <v>69001.75609121786</v>
      </c>
      <c r="AI171">
        <f t="shared" si="37"/>
        <v>69001756.09121786</v>
      </c>
      <c r="AJ171" s="490">
        <v>2422.9870520000004</v>
      </c>
      <c r="AK171">
        <f t="shared" si="38"/>
        <v>2422987.0520000006</v>
      </c>
    </row>
    <row r="172" spans="1:37" ht="15" customHeight="1">
      <c r="A172" s="453" t="s">
        <v>973</v>
      </c>
      <c r="B172" s="467">
        <v>10097</v>
      </c>
      <c r="C172" s="468">
        <f t="shared" si="26"/>
        <v>35758129.455358975</v>
      </c>
      <c r="D172" s="468">
        <f t="shared" si="27"/>
        <v>2150217.0844709217</v>
      </c>
      <c r="E172" s="468">
        <v>0</v>
      </c>
      <c r="F172" s="468">
        <f t="shared" si="28"/>
        <v>37908346.539829895</v>
      </c>
      <c r="G172" s="469">
        <f t="shared" si="29"/>
        <v>3754.4168109170937</v>
      </c>
      <c r="H172" s="460">
        <f t="shared" si="30"/>
        <v>32.70318908290619</v>
      </c>
      <c r="I172" s="380">
        <f t="shared" si="31"/>
      </c>
      <c r="J172" s="380">
        <f t="shared" si="32"/>
      </c>
      <c r="K172" s="461">
        <f t="shared" si="33"/>
        <v>26.162551266324954</v>
      </c>
      <c r="L172" s="488">
        <f t="shared" si="34"/>
        <v>264163.2801360831</v>
      </c>
      <c r="M172" s="488"/>
      <c r="N172" s="478">
        <v>500</v>
      </c>
      <c r="O172" s="389" t="s">
        <v>973</v>
      </c>
      <c r="P172" s="471">
        <v>0</v>
      </c>
      <c r="Q172" s="472" t="s">
        <v>790</v>
      </c>
      <c r="X172" s="473" t="s">
        <v>209</v>
      </c>
      <c r="Y172" s="474">
        <v>19.5</v>
      </c>
      <c r="Z172" s="475">
        <v>35127633.47</v>
      </c>
      <c r="AA172" s="476">
        <f t="shared" si="35"/>
        <v>180141710.1025641</v>
      </c>
      <c r="AB172" s="475">
        <v>2150217.0844709217</v>
      </c>
      <c r="AD172" s="1"/>
      <c r="AE172" s="489">
        <v>500</v>
      </c>
      <c r="AF172">
        <f t="shared" si="36"/>
        <v>0</v>
      </c>
      <c r="AG172" s="1"/>
      <c r="AH172" s="477">
        <v>35163.385720143786</v>
      </c>
      <c r="AI172">
        <f t="shared" si="37"/>
        <v>35163385.72014379</v>
      </c>
      <c r="AJ172" s="490">
        <v>2153.489428</v>
      </c>
      <c r="AK172">
        <f t="shared" si="38"/>
        <v>2153489.428</v>
      </c>
    </row>
    <row r="173" spans="1:37" ht="15" customHeight="1">
      <c r="A173" s="453" t="s">
        <v>974</v>
      </c>
      <c r="B173" s="467">
        <v>7838</v>
      </c>
      <c r="C173" s="468">
        <f t="shared" si="26"/>
        <v>23308845.391190477</v>
      </c>
      <c r="D173" s="468">
        <f t="shared" si="27"/>
        <v>1027363.8732517484</v>
      </c>
      <c r="E173" s="468">
        <v>0</v>
      </c>
      <c r="F173" s="468">
        <f t="shared" si="28"/>
        <v>24336209.264442224</v>
      </c>
      <c r="G173" s="469">
        <f t="shared" si="29"/>
        <v>3104.9003909724706</v>
      </c>
      <c r="H173" s="460">
        <f t="shared" si="30"/>
        <v>682.2196090275293</v>
      </c>
      <c r="I173" s="380">
        <f t="shared" si="31"/>
      </c>
      <c r="J173" s="380">
        <f t="shared" si="32"/>
      </c>
      <c r="K173" s="461">
        <f t="shared" si="33"/>
        <v>545.7756872220234</v>
      </c>
      <c r="L173" s="488">
        <f t="shared" si="34"/>
        <v>4277789.836446219</v>
      </c>
      <c r="M173" s="488"/>
      <c r="N173" s="478">
        <v>503</v>
      </c>
      <c r="O173" s="389" t="s">
        <v>974</v>
      </c>
      <c r="P173" s="471">
        <v>0</v>
      </c>
      <c r="Q173" s="472" t="s">
        <v>764</v>
      </c>
      <c r="X173" s="473" t="s">
        <v>210</v>
      </c>
      <c r="Y173" s="474">
        <v>21</v>
      </c>
      <c r="Z173" s="475">
        <v>24659231.9</v>
      </c>
      <c r="AA173" s="476">
        <f t="shared" si="35"/>
        <v>117424913.8095238</v>
      </c>
      <c r="AB173" s="475">
        <v>1027363.8732517484</v>
      </c>
      <c r="AE173" s="489">
        <v>503</v>
      </c>
      <c r="AF173">
        <f t="shared" si="36"/>
        <v>0</v>
      </c>
      <c r="AH173" s="477">
        <v>24929.13433356194</v>
      </c>
      <c r="AI173">
        <f t="shared" si="37"/>
        <v>24929134.33356194</v>
      </c>
      <c r="AJ173" s="490">
        <v>1028.9273839999998</v>
      </c>
      <c r="AK173">
        <f t="shared" si="38"/>
        <v>1028927.3839999998</v>
      </c>
    </row>
    <row r="174" spans="1:37" ht="15" customHeight="1">
      <c r="A174" s="453" t="s">
        <v>975</v>
      </c>
      <c r="B174" s="467">
        <v>1969</v>
      </c>
      <c r="C174" s="468">
        <f t="shared" si="26"/>
        <v>5284374.7759767445</v>
      </c>
      <c r="D174" s="468">
        <f t="shared" si="27"/>
        <v>445560.78393181897</v>
      </c>
      <c r="E174" s="468">
        <v>0</v>
      </c>
      <c r="F174" s="468">
        <f t="shared" si="28"/>
        <v>5729935.559908563</v>
      </c>
      <c r="G174" s="469">
        <f t="shared" si="29"/>
        <v>2910.0739258042477</v>
      </c>
      <c r="H174" s="460">
        <f t="shared" si="30"/>
        <v>877.0460741957522</v>
      </c>
      <c r="I174" s="380">
        <f t="shared" si="31"/>
      </c>
      <c r="J174" s="380">
        <f t="shared" si="32"/>
      </c>
      <c r="K174" s="461">
        <f t="shared" si="33"/>
        <v>701.6368593566018</v>
      </c>
      <c r="L174" s="488">
        <f t="shared" si="34"/>
        <v>1381522.976073149</v>
      </c>
      <c r="M174" s="488"/>
      <c r="N174" s="478">
        <v>504</v>
      </c>
      <c r="O174" s="479" t="s">
        <v>976</v>
      </c>
      <c r="P174" s="471">
        <v>1</v>
      </c>
      <c r="Q174" s="472" t="s">
        <v>762</v>
      </c>
      <c r="X174" s="473" t="s">
        <v>211</v>
      </c>
      <c r="Y174" s="474">
        <v>21.5</v>
      </c>
      <c r="Z174" s="475">
        <v>5723630.11</v>
      </c>
      <c r="AA174" s="476">
        <f t="shared" si="35"/>
        <v>26621535.395348836</v>
      </c>
      <c r="AB174" s="475">
        <v>445560.78393181897</v>
      </c>
      <c r="AE174" s="489">
        <v>504</v>
      </c>
      <c r="AF174">
        <f t="shared" si="36"/>
        <v>0</v>
      </c>
      <c r="AH174" s="477">
        <v>5643.071859430644</v>
      </c>
      <c r="AI174">
        <f t="shared" si="37"/>
        <v>5643071.859430644</v>
      </c>
      <c r="AJ174" s="490">
        <v>446.238868</v>
      </c>
      <c r="AK174">
        <f t="shared" si="38"/>
        <v>446238.868</v>
      </c>
    </row>
    <row r="175" spans="1:37" ht="15" customHeight="1">
      <c r="A175" s="453" t="s">
        <v>977</v>
      </c>
      <c r="B175" s="467">
        <v>20803</v>
      </c>
      <c r="C175" s="468">
        <f t="shared" si="26"/>
        <v>69454900.3935122</v>
      </c>
      <c r="D175" s="468">
        <f t="shared" si="27"/>
        <v>2809564.397827512</v>
      </c>
      <c r="E175" s="468">
        <v>0</v>
      </c>
      <c r="F175" s="468">
        <f t="shared" si="28"/>
        <v>72264464.79133971</v>
      </c>
      <c r="G175" s="469">
        <f t="shared" si="29"/>
        <v>3473.7520930317605</v>
      </c>
      <c r="H175" s="460">
        <f t="shared" si="30"/>
        <v>313.36790696823937</v>
      </c>
      <c r="I175" s="380">
        <f t="shared" si="31"/>
      </c>
      <c r="J175" s="380">
        <f t="shared" si="32"/>
      </c>
      <c r="K175" s="461">
        <f t="shared" si="33"/>
        <v>250.69432557459152</v>
      </c>
      <c r="L175" s="488">
        <f t="shared" si="34"/>
        <v>5215194.054928227</v>
      </c>
      <c r="M175" s="488"/>
      <c r="N175" s="478">
        <v>505</v>
      </c>
      <c r="O175" s="389" t="s">
        <v>977</v>
      </c>
      <c r="P175" s="471">
        <v>0</v>
      </c>
      <c r="Q175" s="472" t="s">
        <v>762</v>
      </c>
      <c r="S175" s="1"/>
      <c r="T175" s="1"/>
      <c r="U175" s="1"/>
      <c r="X175" s="473" t="s">
        <v>212</v>
      </c>
      <c r="Y175" s="474">
        <v>20.5</v>
      </c>
      <c r="Z175" s="475">
        <v>71729242.22</v>
      </c>
      <c r="AA175" s="476">
        <f t="shared" si="35"/>
        <v>349898742.5365854</v>
      </c>
      <c r="AB175" s="475">
        <v>2809564.397827512</v>
      </c>
      <c r="AC175" s="1"/>
      <c r="AE175" s="489">
        <v>505</v>
      </c>
      <c r="AF175">
        <f t="shared" si="36"/>
        <v>0</v>
      </c>
      <c r="AH175" s="477">
        <v>71519.52299930663</v>
      </c>
      <c r="AI175">
        <f t="shared" si="37"/>
        <v>71519522.99930663</v>
      </c>
      <c r="AJ175" s="490">
        <v>2813.84018</v>
      </c>
      <c r="AK175">
        <f t="shared" si="38"/>
        <v>2813840.18</v>
      </c>
    </row>
    <row r="176" spans="1:37" ht="15" customHeight="1">
      <c r="A176" s="453" t="s">
        <v>978</v>
      </c>
      <c r="B176" s="467">
        <v>6054</v>
      </c>
      <c r="C176" s="468">
        <f t="shared" si="26"/>
        <v>15941022.779544305</v>
      </c>
      <c r="D176" s="468">
        <f t="shared" si="27"/>
        <v>2256059.055112623</v>
      </c>
      <c r="E176" s="468">
        <v>0</v>
      </c>
      <c r="F176" s="468">
        <f t="shared" si="28"/>
        <v>18197081.834656928</v>
      </c>
      <c r="G176" s="469">
        <f t="shared" si="29"/>
        <v>3005.794819071181</v>
      </c>
      <c r="H176" s="460">
        <f t="shared" si="30"/>
        <v>781.325180928819</v>
      </c>
      <c r="I176" s="380">
        <f t="shared" si="31"/>
      </c>
      <c r="J176" s="380">
        <f t="shared" si="32"/>
      </c>
      <c r="K176" s="461">
        <f t="shared" si="33"/>
        <v>625.0601447430553</v>
      </c>
      <c r="L176" s="488">
        <f t="shared" si="34"/>
        <v>3784114.1162744565</v>
      </c>
      <c r="M176" s="488"/>
      <c r="N176" s="478">
        <v>507</v>
      </c>
      <c r="O176" s="389" t="s">
        <v>978</v>
      </c>
      <c r="P176" s="471">
        <v>0</v>
      </c>
      <c r="Q176" s="472" t="s">
        <v>767</v>
      </c>
      <c r="X176" s="473" t="s">
        <v>214</v>
      </c>
      <c r="Y176" s="474">
        <v>19.75</v>
      </c>
      <c r="Z176" s="475">
        <v>15860715.36</v>
      </c>
      <c r="AA176" s="476">
        <f t="shared" si="35"/>
        <v>80307419.5443038</v>
      </c>
      <c r="AB176" s="475">
        <v>2256059.055112623</v>
      </c>
      <c r="AE176" s="489">
        <v>507</v>
      </c>
      <c r="AF176">
        <f t="shared" si="36"/>
        <v>0</v>
      </c>
      <c r="AH176" s="477">
        <v>15957.494414612502</v>
      </c>
      <c r="AI176">
        <f t="shared" si="37"/>
        <v>15957494.414612502</v>
      </c>
      <c r="AJ176" s="490">
        <v>2259.4924760000004</v>
      </c>
      <c r="AK176">
        <f t="shared" si="38"/>
        <v>2259492.4760000003</v>
      </c>
    </row>
    <row r="177" spans="1:37" ht="15" customHeight="1">
      <c r="A177" s="466" t="s">
        <v>979</v>
      </c>
      <c r="B177" s="467">
        <v>10256</v>
      </c>
      <c r="C177" s="468">
        <f t="shared" si="26"/>
        <v>31135367.427204546</v>
      </c>
      <c r="D177" s="468">
        <f t="shared" si="27"/>
        <v>2122791.8340431037</v>
      </c>
      <c r="E177" s="468">
        <v>0</v>
      </c>
      <c r="F177" s="468">
        <f t="shared" si="28"/>
        <v>33258159.26124765</v>
      </c>
      <c r="G177" s="469">
        <f t="shared" si="29"/>
        <v>3242.800239981245</v>
      </c>
      <c r="H177" s="460">
        <f t="shared" si="30"/>
        <v>544.319760018755</v>
      </c>
      <c r="I177" s="380">
        <f t="shared" si="31"/>
      </c>
      <c r="J177" s="380">
        <f t="shared" si="32"/>
      </c>
      <c r="K177" s="461">
        <f t="shared" si="33"/>
        <v>435.45580801500404</v>
      </c>
      <c r="L177" s="488">
        <f t="shared" si="34"/>
        <v>4466034.767001881</v>
      </c>
      <c r="M177" s="488"/>
      <c r="N177" s="470">
        <v>508</v>
      </c>
      <c r="O177" s="389" t="s">
        <v>213</v>
      </c>
      <c r="P177" s="471">
        <v>0</v>
      </c>
      <c r="Q177" s="472" t="s">
        <v>765</v>
      </c>
      <c r="X177" s="473" t="s">
        <v>213</v>
      </c>
      <c r="Y177" s="474">
        <v>22</v>
      </c>
      <c r="Z177" s="475">
        <v>34507712.01</v>
      </c>
      <c r="AA177" s="476">
        <f t="shared" si="35"/>
        <v>156853236.4090909</v>
      </c>
      <c r="AB177" s="475">
        <v>2122791.8340431037</v>
      </c>
      <c r="AE177" s="489">
        <v>508</v>
      </c>
      <c r="AF177">
        <f t="shared" si="36"/>
        <v>0</v>
      </c>
      <c r="AH177" s="477">
        <v>34643.349923121925</v>
      </c>
      <c r="AI177">
        <f t="shared" si="37"/>
        <v>34643349.92312192</v>
      </c>
      <c r="AJ177" s="490">
        <v>2126.0224399999997</v>
      </c>
      <c r="AK177">
        <f t="shared" si="38"/>
        <v>2126022.44</v>
      </c>
    </row>
    <row r="178" spans="1:37" ht="15" customHeight="1">
      <c r="A178" s="466" t="s">
        <v>980</v>
      </c>
      <c r="B178" s="467">
        <v>19167</v>
      </c>
      <c r="C178" s="468">
        <f t="shared" si="26"/>
        <v>76826087.59860528</v>
      </c>
      <c r="D178" s="468">
        <f t="shared" si="27"/>
        <v>9177747.492774883</v>
      </c>
      <c r="E178" s="468">
        <v>0</v>
      </c>
      <c r="F178" s="468">
        <f t="shared" si="28"/>
        <v>86003835.09138016</v>
      </c>
      <c r="G178" s="469">
        <f t="shared" si="29"/>
        <v>4487.078577314142</v>
      </c>
      <c r="H178" s="460">
        <f t="shared" si="30"/>
        <v>-699.9585773141425</v>
      </c>
      <c r="I178" s="380">
        <f t="shared" si="31"/>
        <v>6.551021158026969</v>
      </c>
      <c r="J178" s="380">
        <f t="shared" si="32"/>
        <v>36.55102115802697</v>
      </c>
      <c r="K178" s="461">
        <f t="shared" si="33"/>
        <v>-255.8420076915168</v>
      </c>
      <c r="L178" s="488">
        <f t="shared" si="34"/>
        <v>-4903723.761423303</v>
      </c>
      <c r="M178" s="488"/>
      <c r="N178" s="470">
        <v>529</v>
      </c>
      <c r="O178" s="479" t="s">
        <v>981</v>
      </c>
      <c r="P178" s="471">
        <v>0</v>
      </c>
      <c r="Q178" s="472" t="s">
        <v>764</v>
      </c>
      <c r="X178" s="473" t="s">
        <v>215</v>
      </c>
      <c r="Y178" s="474">
        <v>19</v>
      </c>
      <c r="Z178" s="475">
        <v>73536305.51</v>
      </c>
      <c r="AA178" s="476">
        <f t="shared" si="35"/>
        <v>387033186.8947369</v>
      </c>
      <c r="AB178" s="475">
        <v>9177747.492774883</v>
      </c>
      <c r="AE178" s="489">
        <v>529</v>
      </c>
      <c r="AF178">
        <f t="shared" si="36"/>
        <v>0</v>
      </c>
      <c r="AH178" s="477">
        <v>73392.68461996895</v>
      </c>
      <c r="AI178">
        <f t="shared" si="37"/>
        <v>73392684.61996895</v>
      </c>
      <c r="AJ178" s="490">
        <v>9191.7148</v>
      </c>
      <c r="AK178">
        <f t="shared" si="38"/>
        <v>9191714.799999999</v>
      </c>
    </row>
    <row r="179" spans="1:37" ht="15" customHeight="1">
      <c r="A179" s="453" t="s">
        <v>982</v>
      </c>
      <c r="B179" s="467">
        <v>5521</v>
      </c>
      <c r="C179" s="468">
        <f t="shared" si="26"/>
        <v>16361414.259458825</v>
      </c>
      <c r="D179" s="468">
        <f t="shared" si="27"/>
        <v>568888.5315538401</v>
      </c>
      <c r="E179" s="468">
        <v>0</v>
      </c>
      <c r="F179" s="468">
        <f t="shared" si="28"/>
        <v>16930302.791012663</v>
      </c>
      <c r="G179" s="469">
        <f t="shared" si="29"/>
        <v>3066.5283084609064</v>
      </c>
      <c r="H179" s="460">
        <f t="shared" si="30"/>
        <v>720.5916915390935</v>
      </c>
      <c r="I179" s="380">
        <f t="shared" si="31"/>
      </c>
      <c r="J179" s="380">
        <f t="shared" si="32"/>
      </c>
      <c r="K179" s="461">
        <f t="shared" si="33"/>
        <v>576.4733532312748</v>
      </c>
      <c r="L179" s="488">
        <f t="shared" si="34"/>
        <v>3182709.383189868</v>
      </c>
      <c r="M179" s="488"/>
      <c r="N179" s="478">
        <v>531</v>
      </c>
      <c r="O179" s="389" t="s">
        <v>982</v>
      </c>
      <c r="P179" s="471">
        <v>0</v>
      </c>
      <c r="Q179" s="472" t="s">
        <v>774</v>
      </c>
      <c r="X179" s="473" t="s">
        <v>216</v>
      </c>
      <c r="Y179" s="474">
        <v>21.25</v>
      </c>
      <c r="Z179" s="475">
        <v>17515367.91</v>
      </c>
      <c r="AA179" s="476">
        <f t="shared" si="35"/>
        <v>82425260.75294118</v>
      </c>
      <c r="AB179" s="475">
        <v>568888.5315538401</v>
      </c>
      <c r="AE179" s="489">
        <v>531</v>
      </c>
      <c r="AF179">
        <f t="shared" si="36"/>
        <v>0</v>
      </c>
      <c r="AH179" s="477">
        <v>17507.837045054323</v>
      </c>
      <c r="AI179">
        <f t="shared" si="37"/>
        <v>17507837.045054324</v>
      </c>
      <c r="AJ179" s="490">
        <v>569.754304</v>
      </c>
      <c r="AK179">
        <f t="shared" si="38"/>
        <v>569754.304</v>
      </c>
    </row>
    <row r="180" spans="1:37" ht="15" customHeight="1">
      <c r="A180" s="453" t="s">
        <v>983</v>
      </c>
      <c r="B180" s="467">
        <v>10815</v>
      </c>
      <c r="C180" s="468">
        <f t="shared" si="26"/>
        <v>25805660.404883724</v>
      </c>
      <c r="D180" s="468">
        <f t="shared" si="27"/>
        <v>1142233.0257270706</v>
      </c>
      <c r="E180" s="468">
        <v>0</v>
      </c>
      <c r="F180" s="468">
        <f t="shared" si="28"/>
        <v>26947893.430610795</v>
      </c>
      <c r="G180" s="469">
        <f t="shared" si="29"/>
        <v>2491.714602922866</v>
      </c>
      <c r="H180" s="460">
        <f t="shared" si="30"/>
        <v>1295.4053970771338</v>
      </c>
      <c r="I180" s="380">
        <f t="shared" si="31"/>
      </c>
      <c r="J180" s="380">
        <f t="shared" si="32"/>
      </c>
      <c r="K180" s="461">
        <f t="shared" si="33"/>
        <v>1036.324317661707</v>
      </c>
      <c r="L180" s="488">
        <f t="shared" si="34"/>
        <v>11207847.495511362</v>
      </c>
      <c r="M180" s="488"/>
      <c r="N180" s="478">
        <v>535</v>
      </c>
      <c r="O180" s="389" t="s">
        <v>983</v>
      </c>
      <c r="P180" s="471">
        <v>0</v>
      </c>
      <c r="Q180" s="472" t="s">
        <v>757</v>
      </c>
      <c r="X180" s="473" t="s">
        <v>217</v>
      </c>
      <c r="Y180" s="474">
        <v>21.5</v>
      </c>
      <c r="Z180" s="475">
        <v>27950715.3</v>
      </c>
      <c r="AA180" s="476">
        <f t="shared" si="35"/>
        <v>130003326.97674419</v>
      </c>
      <c r="AB180" s="475">
        <v>1142233.0257270706</v>
      </c>
      <c r="AE180" s="489">
        <v>535</v>
      </c>
      <c r="AF180">
        <f t="shared" si="36"/>
        <v>0</v>
      </c>
      <c r="AH180" s="477">
        <v>27752.99188115985</v>
      </c>
      <c r="AI180">
        <f t="shared" si="37"/>
        <v>27752991.88115985</v>
      </c>
      <c r="AJ180" s="490">
        <v>1143.971352</v>
      </c>
      <c r="AK180">
        <f t="shared" si="38"/>
        <v>1143971.352</v>
      </c>
    </row>
    <row r="181" spans="1:37" ht="15" customHeight="1">
      <c r="A181" s="453" t="s">
        <v>984</v>
      </c>
      <c r="B181" s="467">
        <v>33322</v>
      </c>
      <c r="C181" s="468">
        <f t="shared" si="26"/>
        <v>114983894.83995123</v>
      </c>
      <c r="D181" s="468">
        <f t="shared" si="27"/>
        <v>9176798.033724885</v>
      </c>
      <c r="E181" s="468">
        <v>0</v>
      </c>
      <c r="F181" s="468">
        <f t="shared" si="28"/>
        <v>124160692.87367612</v>
      </c>
      <c r="G181" s="469">
        <f t="shared" si="29"/>
        <v>3726.0876560133283</v>
      </c>
      <c r="H181" s="460">
        <f t="shared" si="30"/>
        <v>61.03234398667155</v>
      </c>
      <c r="I181" s="380">
        <f t="shared" si="31"/>
      </c>
      <c r="J181" s="380">
        <f t="shared" si="32"/>
      </c>
      <c r="K181" s="461">
        <f t="shared" si="33"/>
        <v>48.82587518933724</v>
      </c>
      <c r="L181" s="488">
        <f t="shared" si="34"/>
        <v>1626975.8130590955</v>
      </c>
      <c r="M181" s="488"/>
      <c r="N181" s="478">
        <v>536</v>
      </c>
      <c r="O181" s="389" t="s">
        <v>984</v>
      </c>
      <c r="P181" s="471">
        <v>0</v>
      </c>
      <c r="Q181" s="472" t="s">
        <v>765</v>
      </c>
      <c r="U181" s="53"/>
      <c r="X181" s="473" t="s">
        <v>218</v>
      </c>
      <c r="Y181" s="474">
        <v>20.5</v>
      </c>
      <c r="Z181" s="475">
        <v>118749110.54</v>
      </c>
      <c r="AA181" s="476">
        <f t="shared" si="35"/>
        <v>579263953.8536586</v>
      </c>
      <c r="AB181" s="475">
        <v>9176798.033724885</v>
      </c>
      <c r="AE181" s="489">
        <v>536</v>
      </c>
      <c r="AF181">
        <f t="shared" si="36"/>
        <v>0</v>
      </c>
      <c r="AH181" s="477">
        <v>118665.36409705722</v>
      </c>
      <c r="AI181">
        <f t="shared" si="37"/>
        <v>118665364.09705722</v>
      </c>
      <c r="AJ181" s="490">
        <v>9190.763896</v>
      </c>
      <c r="AK181">
        <f t="shared" si="38"/>
        <v>9190763.896</v>
      </c>
    </row>
    <row r="182" spans="1:37" ht="15" customHeight="1">
      <c r="A182" s="453" t="s">
        <v>985</v>
      </c>
      <c r="B182" s="467">
        <v>4813</v>
      </c>
      <c r="C182" s="468">
        <f t="shared" si="26"/>
        <v>15174035.193162793</v>
      </c>
      <c r="D182" s="468">
        <f t="shared" si="27"/>
        <v>440721.6963774647</v>
      </c>
      <c r="E182" s="468">
        <v>0</v>
      </c>
      <c r="F182" s="468">
        <f t="shared" si="28"/>
        <v>15614756.889540259</v>
      </c>
      <c r="G182" s="469">
        <f t="shared" si="29"/>
        <v>3244.28773936012</v>
      </c>
      <c r="H182" s="460">
        <f t="shared" si="30"/>
        <v>542.8322606398797</v>
      </c>
      <c r="I182" s="380">
        <f t="shared" si="31"/>
      </c>
      <c r="J182" s="380">
        <f t="shared" si="32"/>
      </c>
      <c r="K182" s="461">
        <f t="shared" si="33"/>
        <v>434.26580851190374</v>
      </c>
      <c r="L182" s="488">
        <f t="shared" si="34"/>
        <v>2090121.3363677927</v>
      </c>
      <c r="M182" s="488"/>
      <c r="N182" s="478">
        <v>538</v>
      </c>
      <c r="O182" s="479" t="s">
        <v>986</v>
      </c>
      <c r="P182" s="471">
        <v>0</v>
      </c>
      <c r="Q182" s="472" t="s">
        <v>764</v>
      </c>
      <c r="X182" s="473" t="s">
        <v>219</v>
      </c>
      <c r="Y182" s="474">
        <v>21.5</v>
      </c>
      <c r="Z182" s="475">
        <v>16435352.98</v>
      </c>
      <c r="AA182" s="476">
        <f t="shared" si="35"/>
        <v>76443502.23255815</v>
      </c>
      <c r="AB182" s="475">
        <v>440721.6963774647</v>
      </c>
      <c r="AE182" s="489">
        <v>538</v>
      </c>
      <c r="AF182">
        <f t="shared" si="36"/>
        <v>0</v>
      </c>
      <c r="AH182" s="477">
        <v>16617.20283799723</v>
      </c>
      <c r="AI182">
        <f t="shared" si="37"/>
        <v>16617202.83799723</v>
      </c>
      <c r="AJ182" s="490">
        <v>441.392416</v>
      </c>
      <c r="AK182">
        <f t="shared" si="38"/>
        <v>441392.416</v>
      </c>
    </row>
    <row r="183" spans="1:37" ht="15" customHeight="1">
      <c r="A183" s="453" t="s">
        <v>987</v>
      </c>
      <c r="B183" s="467">
        <v>7765</v>
      </c>
      <c r="C183" s="468">
        <f t="shared" si="26"/>
        <v>19135765.45302439</v>
      </c>
      <c r="D183" s="468">
        <f t="shared" si="27"/>
        <v>2644726.4432024215</v>
      </c>
      <c r="E183" s="468">
        <v>0</v>
      </c>
      <c r="F183" s="468">
        <f t="shared" si="28"/>
        <v>21780491.896226812</v>
      </c>
      <c r="G183" s="469">
        <f t="shared" si="29"/>
        <v>2804.957101896563</v>
      </c>
      <c r="H183" s="460">
        <f t="shared" si="30"/>
        <v>982.1628981034369</v>
      </c>
      <c r="I183" s="380">
        <f t="shared" si="31"/>
      </c>
      <c r="J183" s="380">
        <f t="shared" si="32"/>
      </c>
      <c r="K183" s="461">
        <f t="shared" si="33"/>
        <v>785.7303184827496</v>
      </c>
      <c r="L183" s="488">
        <f t="shared" si="34"/>
        <v>6101195.9230185505</v>
      </c>
      <c r="M183" s="488"/>
      <c r="N183" s="478">
        <v>541</v>
      </c>
      <c r="O183" s="389" t="s">
        <v>987</v>
      </c>
      <c r="P183" s="471">
        <v>0</v>
      </c>
      <c r="Q183" s="472" t="s">
        <v>826</v>
      </c>
      <c r="X183" s="473" t="s">
        <v>220</v>
      </c>
      <c r="Y183" s="474">
        <v>20.5</v>
      </c>
      <c r="Z183" s="475">
        <v>19762377.42</v>
      </c>
      <c r="AA183" s="476">
        <f t="shared" si="35"/>
        <v>96401841.07317074</v>
      </c>
      <c r="AB183" s="475">
        <v>2644726.4432024215</v>
      </c>
      <c r="AE183" s="489">
        <v>541</v>
      </c>
      <c r="AF183">
        <f t="shared" si="36"/>
        <v>0</v>
      </c>
      <c r="AH183" s="477">
        <v>19580.867754706018</v>
      </c>
      <c r="AI183">
        <f t="shared" si="37"/>
        <v>19580867.754706018</v>
      </c>
      <c r="AJ183" s="490">
        <v>2648.751364</v>
      </c>
      <c r="AK183">
        <f t="shared" si="38"/>
        <v>2648751.364</v>
      </c>
    </row>
    <row r="184" spans="1:37" ht="15" customHeight="1">
      <c r="A184" s="453" t="s">
        <v>988</v>
      </c>
      <c r="B184" s="467">
        <v>42159</v>
      </c>
      <c r="C184" s="468">
        <f t="shared" si="26"/>
        <v>170716814.24033332</v>
      </c>
      <c r="D184" s="468">
        <f t="shared" si="27"/>
        <v>7676574.082424799</v>
      </c>
      <c r="E184" s="468">
        <v>0</v>
      </c>
      <c r="F184" s="468">
        <f t="shared" si="28"/>
        <v>178393388.3227581</v>
      </c>
      <c r="G184" s="469">
        <f t="shared" si="29"/>
        <v>4231.442594054843</v>
      </c>
      <c r="H184" s="460">
        <f t="shared" si="30"/>
        <v>-444.32259405484274</v>
      </c>
      <c r="I184" s="380">
        <f t="shared" si="31"/>
        <v>6.096550861799555</v>
      </c>
      <c r="J184" s="380">
        <f t="shared" si="32"/>
        <v>36.09655086179956</v>
      </c>
      <c r="K184" s="461">
        <f t="shared" si="33"/>
        <v>-160.38513115347348</v>
      </c>
      <c r="L184" s="488">
        <f t="shared" si="34"/>
        <v>-6761676.744299289</v>
      </c>
      <c r="M184" s="488"/>
      <c r="N184" s="478">
        <v>543</v>
      </c>
      <c r="O184" s="389" t="s">
        <v>988</v>
      </c>
      <c r="P184" s="471">
        <v>0</v>
      </c>
      <c r="Q184" s="472" t="s">
        <v>762</v>
      </c>
      <c r="X184" s="473" t="s">
        <v>221</v>
      </c>
      <c r="Y184" s="474">
        <v>19.5</v>
      </c>
      <c r="Z184" s="475">
        <v>167706694.09</v>
      </c>
      <c r="AA184" s="476">
        <f t="shared" si="35"/>
        <v>860034328.6666666</v>
      </c>
      <c r="AB184" s="475">
        <v>7676574.082424799</v>
      </c>
      <c r="AE184" s="489">
        <v>543</v>
      </c>
      <c r="AF184">
        <f t="shared" si="36"/>
        <v>0</v>
      </c>
      <c r="AH184" s="477">
        <v>167451.79247741523</v>
      </c>
      <c r="AI184">
        <f t="shared" si="37"/>
        <v>167451792.47741523</v>
      </c>
      <c r="AJ184" s="490">
        <v>7688.256804</v>
      </c>
      <c r="AK184">
        <f t="shared" si="38"/>
        <v>7688256.804</v>
      </c>
    </row>
    <row r="185" spans="1:37" ht="15" customHeight="1">
      <c r="A185" s="453" t="s">
        <v>989</v>
      </c>
      <c r="B185" s="467">
        <v>9507</v>
      </c>
      <c r="C185" s="468">
        <f t="shared" si="26"/>
        <v>24468004.790738095</v>
      </c>
      <c r="D185" s="468">
        <f t="shared" si="27"/>
        <v>2638803.4931421964</v>
      </c>
      <c r="E185" s="468">
        <v>0</v>
      </c>
      <c r="F185" s="468">
        <f t="shared" si="28"/>
        <v>27106808.28388029</v>
      </c>
      <c r="G185" s="469">
        <f t="shared" si="29"/>
        <v>2851.247321329577</v>
      </c>
      <c r="H185" s="460">
        <f t="shared" si="30"/>
        <v>935.8726786704228</v>
      </c>
      <c r="I185" s="380">
        <f t="shared" si="31"/>
      </c>
      <c r="J185" s="380">
        <f t="shared" si="32"/>
      </c>
      <c r="K185" s="461">
        <f t="shared" si="33"/>
        <v>748.6981429363383</v>
      </c>
      <c r="L185" s="488">
        <f t="shared" si="34"/>
        <v>7117873.244895768</v>
      </c>
      <c r="M185" s="488"/>
      <c r="N185" s="478">
        <v>545</v>
      </c>
      <c r="O185" s="479" t="s">
        <v>990</v>
      </c>
      <c r="P185" s="471">
        <v>2</v>
      </c>
      <c r="Q185" s="472" t="s">
        <v>835</v>
      </c>
      <c r="X185" s="473" t="s">
        <v>222</v>
      </c>
      <c r="Y185" s="474">
        <v>21</v>
      </c>
      <c r="Z185" s="475">
        <v>25885546.63</v>
      </c>
      <c r="AA185" s="476">
        <f t="shared" si="35"/>
        <v>123264507.76190476</v>
      </c>
      <c r="AB185" s="475">
        <v>2638803.4931421964</v>
      </c>
      <c r="AE185" s="489">
        <v>545</v>
      </c>
      <c r="AF185">
        <f t="shared" si="36"/>
        <v>0</v>
      </c>
      <c r="AH185" s="477">
        <v>25639.327829737107</v>
      </c>
      <c r="AI185">
        <f t="shared" si="37"/>
        <v>25639327.82973711</v>
      </c>
      <c r="AJ185" s="490">
        <v>2642.8194</v>
      </c>
      <c r="AK185">
        <f t="shared" si="38"/>
        <v>2642819.4</v>
      </c>
    </row>
    <row r="186" spans="1:37" s="1" customFormat="1" ht="15" customHeight="1">
      <c r="A186" s="453" t="s">
        <v>991</v>
      </c>
      <c r="B186" s="467">
        <v>16221</v>
      </c>
      <c r="C186" s="468">
        <f t="shared" si="26"/>
        <v>46600620.45110843</v>
      </c>
      <c r="D186" s="468">
        <f t="shared" si="27"/>
        <v>2368291.9476238913</v>
      </c>
      <c r="E186" s="468">
        <v>0</v>
      </c>
      <c r="F186" s="468">
        <f t="shared" si="28"/>
        <v>48968912.39873233</v>
      </c>
      <c r="G186" s="469">
        <f t="shared" si="29"/>
        <v>3018.8590345066473</v>
      </c>
      <c r="H186" s="460">
        <f t="shared" si="30"/>
        <v>768.2609654933526</v>
      </c>
      <c r="I186" s="380">
        <f t="shared" si="31"/>
      </c>
      <c r="J186" s="380">
        <f t="shared" si="32"/>
      </c>
      <c r="K186" s="461">
        <f t="shared" si="33"/>
        <v>614.6087723946821</v>
      </c>
      <c r="L186" s="488">
        <f t="shared" si="34"/>
        <v>9969568.897014137</v>
      </c>
      <c r="M186" s="488"/>
      <c r="N186" s="478">
        <v>560</v>
      </c>
      <c r="O186" s="389" t="s">
        <v>991</v>
      </c>
      <c r="P186" s="471">
        <v>0</v>
      </c>
      <c r="Q186" s="472" t="s">
        <v>760</v>
      </c>
      <c r="R186"/>
      <c r="S186"/>
      <c r="T186"/>
      <c r="U186"/>
      <c r="V186"/>
      <c r="W186"/>
      <c r="X186" s="473" t="s">
        <v>223</v>
      </c>
      <c r="Y186" s="474">
        <v>20.75</v>
      </c>
      <c r="Z186" s="475">
        <v>48713494.93</v>
      </c>
      <c r="AA186" s="476">
        <f t="shared" si="35"/>
        <v>234763830.98795182</v>
      </c>
      <c r="AB186" s="475">
        <v>2368291.9476238913</v>
      </c>
      <c r="AC186"/>
      <c r="AD186"/>
      <c r="AE186" s="489">
        <v>560</v>
      </c>
      <c r="AF186">
        <f t="shared" si="36"/>
        <v>0</v>
      </c>
      <c r="AG186"/>
      <c r="AH186" s="477">
        <v>48588.04809734905</v>
      </c>
      <c r="AI186">
        <f t="shared" si="37"/>
        <v>48588048.09734905</v>
      </c>
      <c r="AJ186" s="490">
        <v>2371.896172</v>
      </c>
      <c r="AK186">
        <f t="shared" si="38"/>
        <v>2371896.1720000003</v>
      </c>
    </row>
    <row r="187" spans="1:37" ht="15" customHeight="1">
      <c r="A187" s="453" t="s">
        <v>992</v>
      </c>
      <c r="B187" s="467">
        <v>1382</v>
      </c>
      <c r="C187" s="468">
        <f t="shared" si="26"/>
        <v>3568297.097282052</v>
      </c>
      <c r="D187" s="468">
        <f t="shared" si="27"/>
        <v>361512.8217169622</v>
      </c>
      <c r="E187" s="468">
        <v>0</v>
      </c>
      <c r="F187" s="468">
        <f t="shared" si="28"/>
        <v>3929809.9189990144</v>
      </c>
      <c r="G187" s="469">
        <f t="shared" si="29"/>
        <v>2843.567235165712</v>
      </c>
      <c r="H187" s="460">
        <f t="shared" si="30"/>
        <v>943.5527648342877</v>
      </c>
      <c r="I187" s="380">
        <f t="shared" si="31"/>
      </c>
      <c r="J187" s="380">
        <f t="shared" si="32"/>
      </c>
      <c r="K187" s="461">
        <f t="shared" si="33"/>
        <v>754.8422118674303</v>
      </c>
      <c r="L187" s="488">
        <f t="shared" si="34"/>
        <v>1043191.9368007886</v>
      </c>
      <c r="M187" s="488"/>
      <c r="N187" s="478">
        <v>561</v>
      </c>
      <c r="O187" s="389" t="s">
        <v>992</v>
      </c>
      <c r="P187" s="471">
        <v>0</v>
      </c>
      <c r="Q187" s="472" t="s">
        <v>764</v>
      </c>
      <c r="X187" s="473" t="s">
        <v>224</v>
      </c>
      <c r="Y187" s="474">
        <v>19.5</v>
      </c>
      <c r="Z187" s="475">
        <v>3505380.02</v>
      </c>
      <c r="AA187" s="476">
        <f t="shared" si="35"/>
        <v>17976307.794871796</v>
      </c>
      <c r="AB187" s="475">
        <v>361512.8217169622</v>
      </c>
      <c r="AE187" s="489">
        <v>561</v>
      </c>
      <c r="AF187">
        <f t="shared" si="36"/>
        <v>0</v>
      </c>
      <c r="AH187" s="477">
        <v>3357.1253989643624</v>
      </c>
      <c r="AI187">
        <f t="shared" si="37"/>
        <v>3357125.398964362</v>
      </c>
      <c r="AJ187" s="490">
        <v>362.062996</v>
      </c>
      <c r="AK187">
        <f t="shared" si="38"/>
        <v>362062.996</v>
      </c>
    </row>
    <row r="188" spans="1:37" ht="15" customHeight="1">
      <c r="A188" s="453" t="s">
        <v>993</v>
      </c>
      <c r="B188" s="467">
        <v>9285</v>
      </c>
      <c r="C188" s="468">
        <f t="shared" si="26"/>
        <v>25818464.715159092</v>
      </c>
      <c r="D188" s="468">
        <f t="shared" si="27"/>
        <v>1910017.835681143</v>
      </c>
      <c r="E188" s="468">
        <v>0</v>
      </c>
      <c r="F188" s="468">
        <f t="shared" si="28"/>
        <v>27728482.550840236</v>
      </c>
      <c r="G188" s="469">
        <f t="shared" si="29"/>
        <v>2986.37399578247</v>
      </c>
      <c r="H188" s="460">
        <f t="shared" si="30"/>
        <v>800.7460042175298</v>
      </c>
      <c r="I188" s="380">
        <f t="shared" si="31"/>
      </c>
      <c r="J188" s="380">
        <f t="shared" si="32"/>
      </c>
      <c r="K188" s="461">
        <f t="shared" si="33"/>
        <v>640.5968033740239</v>
      </c>
      <c r="L188" s="488">
        <f t="shared" si="34"/>
        <v>5947941.319327812</v>
      </c>
      <c r="M188" s="488"/>
      <c r="N188" s="478">
        <v>562</v>
      </c>
      <c r="O188" s="389" t="s">
        <v>993</v>
      </c>
      <c r="P188" s="471">
        <v>0</v>
      </c>
      <c r="Q188" s="472" t="s">
        <v>765</v>
      </c>
      <c r="X188" s="473" t="s">
        <v>225</v>
      </c>
      <c r="Y188" s="474">
        <v>22</v>
      </c>
      <c r="Z188" s="475">
        <v>28614923.11</v>
      </c>
      <c r="AA188" s="476">
        <f t="shared" si="35"/>
        <v>130067832.31818181</v>
      </c>
      <c r="AB188" s="475">
        <v>1910017.835681143</v>
      </c>
      <c r="AD188" s="1"/>
      <c r="AE188" s="489">
        <v>562</v>
      </c>
      <c r="AF188">
        <f t="shared" si="36"/>
        <v>0</v>
      </c>
      <c r="AG188" s="1"/>
      <c r="AH188" s="477">
        <v>28482.96677823837</v>
      </c>
      <c r="AI188">
        <f t="shared" si="37"/>
        <v>28482966.77823837</v>
      </c>
      <c r="AJ188" s="490">
        <v>1912.924628</v>
      </c>
      <c r="AK188">
        <f t="shared" si="38"/>
        <v>1912924.628</v>
      </c>
    </row>
    <row r="189" spans="1:37" s="1" customFormat="1" ht="15" customHeight="1">
      <c r="A189" s="453" t="s">
        <v>994</v>
      </c>
      <c r="B189" s="467">
        <v>7472</v>
      </c>
      <c r="C189" s="468">
        <f t="shared" si="26"/>
        <v>19718454.280813955</v>
      </c>
      <c r="D189" s="468">
        <f t="shared" si="27"/>
        <v>1121779.8607154377</v>
      </c>
      <c r="E189" s="468">
        <v>0</v>
      </c>
      <c r="F189" s="468">
        <f t="shared" si="28"/>
        <v>20840234.141529392</v>
      </c>
      <c r="G189" s="469">
        <f t="shared" si="29"/>
        <v>2789.1105649798437</v>
      </c>
      <c r="H189" s="460">
        <f t="shared" si="30"/>
        <v>998.0094350201562</v>
      </c>
      <c r="I189" s="380">
        <f t="shared" si="31"/>
      </c>
      <c r="J189" s="380">
        <f t="shared" si="32"/>
      </c>
      <c r="K189" s="461">
        <f t="shared" si="33"/>
        <v>798.407548016125</v>
      </c>
      <c r="L189" s="488">
        <f t="shared" si="34"/>
        <v>5965701.198776486</v>
      </c>
      <c r="M189" s="488"/>
      <c r="N189" s="478">
        <v>563</v>
      </c>
      <c r="O189" s="389" t="s">
        <v>994</v>
      </c>
      <c r="P189" s="471">
        <v>0</v>
      </c>
      <c r="Q189" s="472" t="s">
        <v>757</v>
      </c>
      <c r="R189"/>
      <c r="S189"/>
      <c r="T189"/>
      <c r="U189"/>
      <c r="V189"/>
      <c r="W189"/>
      <c r="X189" s="473" t="s">
        <v>226</v>
      </c>
      <c r="Y189" s="474">
        <v>21.5</v>
      </c>
      <c r="Z189" s="475">
        <v>21357519.75</v>
      </c>
      <c r="AA189" s="476">
        <f t="shared" si="35"/>
        <v>99337301.1627907</v>
      </c>
      <c r="AB189" s="475">
        <v>1121779.8607154377</v>
      </c>
      <c r="AC189"/>
      <c r="AD189"/>
      <c r="AE189" s="489">
        <v>563</v>
      </c>
      <c r="AF189">
        <f t="shared" si="36"/>
        <v>0</v>
      </c>
      <c r="AG189"/>
      <c r="AH189" s="477">
        <v>21405.812401052626</v>
      </c>
      <c r="AI189">
        <f t="shared" si="37"/>
        <v>21405812.401052628</v>
      </c>
      <c r="AJ189" s="490">
        <v>1123.48706</v>
      </c>
      <c r="AK189">
        <f t="shared" si="38"/>
        <v>1123487.0599999998</v>
      </c>
    </row>
    <row r="190" spans="1:37" ht="15" customHeight="1">
      <c r="A190" s="466" t="s">
        <v>995</v>
      </c>
      <c r="B190" s="467">
        <v>201810</v>
      </c>
      <c r="C190" s="468">
        <f t="shared" si="26"/>
        <v>672963939.0435501</v>
      </c>
      <c r="D190" s="468">
        <f t="shared" si="27"/>
        <v>45987478.764788106</v>
      </c>
      <c r="E190" s="468">
        <v>0</v>
      </c>
      <c r="F190" s="468">
        <f t="shared" si="28"/>
        <v>718951417.8083383</v>
      </c>
      <c r="G190" s="469">
        <f t="shared" si="29"/>
        <v>3562.5163163784664</v>
      </c>
      <c r="H190" s="460">
        <f t="shared" si="30"/>
        <v>224.6036836215335</v>
      </c>
      <c r="I190" s="380">
        <f t="shared" si="31"/>
      </c>
      <c r="J190" s="380">
        <f t="shared" si="32"/>
      </c>
      <c r="K190" s="461">
        <f t="shared" si="33"/>
        <v>179.6829468972268</v>
      </c>
      <c r="L190" s="488">
        <f t="shared" si="34"/>
        <v>36261815.51332934</v>
      </c>
      <c r="M190" s="488"/>
      <c r="N190" s="470">
        <v>564</v>
      </c>
      <c r="O190" s="479" t="s">
        <v>996</v>
      </c>
      <c r="P190" s="471">
        <v>0</v>
      </c>
      <c r="Q190" s="472" t="s">
        <v>757</v>
      </c>
      <c r="S190" s="1"/>
      <c r="T190" s="1"/>
      <c r="U190" s="1"/>
      <c r="X190" s="473" t="s">
        <v>227</v>
      </c>
      <c r="Y190" s="474">
        <v>20</v>
      </c>
      <c r="Z190" s="475">
        <v>678049308.86</v>
      </c>
      <c r="AA190" s="476">
        <f t="shared" si="35"/>
        <v>3390246544.3</v>
      </c>
      <c r="AB190" s="475">
        <v>45987478.764788106</v>
      </c>
      <c r="AC190" s="1"/>
      <c r="AE190" s="489">
        <v>564</v>
      </c>
      <c r="AF190">
        <f t="shared" si="36"/>
        <v>0</v>
      </c>
      <c r="AH190" s="477">
        <v>677835.7532519705</v>
      </c>
      <c r="AI190">
        <f t="shared" si="37"/>
        <v>677835753.2519705</v>
      </c>
      <c r="AJ190" s="490">
        <v>46057.46557200001</v>
      </c>
      <c r="AK190">
        <f t="shared" si="38"/>
        <v>46057465.57200001</v>
      </c>
    </row>
    <row r="191" spans="1:37" s="480" customFormat="1" ht="15" customHeight="1">
      <c r="A191" s="453" t="s">
        <v>997</v>
      </c>
      <c r="B191" s="467">
        <v>3027</v>
      </c>
      <c r="C191" s="468">
        <f t="shared" si="26"/>
        <v>7451763.029095238</v>
      </c>
      <c r="D191" s="468">
        <f t="shared" si="27"/>
        <v>1178569.2628220494</v>
      </c>
      <c r="E191" s="468">
        <v>0</v>
      </c>
      <c r="F191" s="468">
        <f t="shared" si="28"/>
        <v>8630332.291917287</v>
      </c>
      <c r="G191" s="469">
        <f t="shared" si="29"/>
        <v>2851.1173742706596</v>
      </c>
      <c r="H191" s="460">
        <f t="shared" si="30"/>
        <v>936.0026257293403</v>
      </c>
      <c r="I191" s="380">
        <f t="shared" si="31"/>
      </c>
      <c r="J191" s="380">
        <f t="shared" si="32"/>
      </c>
      <c r="K191" s="461">
        <f t="shared" si="33"/>
        <v>748.8021005834722</v>
      </c>
      <c r="L191" s="488">
        <f t="shared" si="34"/>
        <v>2266623.9584661704</v>
      </c>
      <c r="M191" s="488"/>
      <c r="N191" s="478">
        <v>576</v>
      </c>
      <c r="O191" s="389" t="s">
        <v>997</v>
      </c>
      <c r="P191" s="471">
        <v>0</v>
      </c>
      <c r="Q191" s="472" t="s">
        <v>760</v>
      </c>
      <c r="R191"/>
      <c r="S191"/>
      <c r="T191"/>
      <c r="U191"/>
      <c r="V191"/>
      <c r="W191"/>
      <c r="X191" s="473" t="s">
        <v>229</v>
      </c>
      <c r="Y191" s="474">
        <v>21</v>
      </c>
      <c r="Z191" s="475">
        <v>7883477.26</v>
      </c>
      <c r="AA191" s="476">
        <f t="shared" si="35"/>
        <v>37540367.9047619</v>
      </c>
      <c r="AB191" s="475">
        <v>1178569.2628220494</v>
      </c>
      <c r="AC191"/>
      <c r="AD191"/>
      <c r="AE191" s="489">
        <v>576</v>
      </c>
      <c r="AF191">
        <f t="shared" si="36"/>
        <v>0</v>
      </c>
      <c r="AG191"/>
      <c r="AH191" s="477">
        <v>8025.785193644566</v>
      </c>
      <c r="AI191">
        <f t="shared" si="37"/>
        <v>8025785.1936445655</v>
      </c>
      <c r="AJ191" s="490">
        <v>1180.362888</v>
      </c>
      <c r="AK191">
        <f t="shared" si="38"/>
        <v>1180362.888</v>
      </c>
    </row>
    <row r="192" spans="1:37" ht="15" customHeight="1">
      <c r="A192" s="453" t="s">
        <v>998</v>
      </c>
      <c r="B192" s="467">
        <v>10730</v>
      </c>
      <c r="C192" s="468">
        <f t="shared" si="26"/>
        <v>36957989.111807235</v>
      </c>
      <c r="D192" s="468">
        <f t="shared" si="27"/>
        <v>1305423.9748747607</v>
      </c>
      <c r="E192" s="468">
        <v>0</v>
      </c>
      <c r="F192" s="468">
        <f t="shared" si="28"/>
        <v>38263413.08668199</v>
      </c>
      <c r="G192" s="469">
        <f t="shared" si="29"/>
        <v>3566.021722896737</v>
      </c>
      <c r="H192" s="460">
        <f t="shared" si="30"/>
        <v>221.09827710326272</v>
      </c>
      <c r="I192" s="380">
        <f t="shared" si="31"/>
      </c>
      <c r="J192" s="380">
        <f t="shared" si="32"/>
      </c>
      <c r="K192" s="461">
        <f t="shared" si="33"/>
        <v>176.87862168261017</v>
      </c>
      <c r="L192" s="488">
        <f t="shared" si="34"/>
        <v>1897907.6106544072</v>
      </c>
      <c r="M192" s="488"/>
      <c r="N192" s="478">
        <v>577</v>
      </c>
      <c r="O192" s="479" t="s">
        <v>999</v>
      </c>
      <c r="P192" s="471">
        <v>0</v>
      </c>
      <c r="Q192" s="472" t="s">
        <v>764</v>
      </c>
      <c r="S192" s="1"/>
      <c r="T192" s="1"/>
      <c r="U192" s="1"/>
      <c r="X192" s="473" t="s">
        <v>230</v>
      </c>
      <c r="Y192" s="474">
        <v>20.75</v>
      </c>
      <c r="Z192" s="475">
        <v>38633666.2</v>
      </c>
      <c r="AA192" s="476">
        <f t="shared" si="35"/>
        <v>186186343.13253015</v>
      </c>
      <c r="AB192" s="475">
        <v>1305423.9748747607</v>
      </c>
      <c r="AC192" s="1"/>
      <c r="AD192" s="480"/>
      <c r="AE192" s="489">
        <v>577</v>
      </c>
      <c r="AF192">
        <f t="shared" si="36"/>
        <v>0</v>
      </c>
      <c r="AG192" s="480"/>
      <c r="AH192" s="477">
        <v>38442.71458677958</v>
      </c>
      <c r="AI192">
        <f t="shared" si="37"/>
        <v>38442714.58677958</v>
      </c>
      <c r="AJ192" s="490">
        <v>1307.410656</v>
      </c>
      <c r="AK192">
        <f t="shared" si="38"/>
        <v>1307410.656</v>
      </c>
    </row>
    <row r="193" spans="1:37" ht="15" customHeight="1">
      <c r="A193" s="453" t="s">
        <v>1000</v>
      </c>
      <c r="B193" s="467">
        <v>3435</v>
      </c>
      <c r="C193" s="468">
        <f t="shared" si="26"/>
        <v>8351351.937977273</v>
      </c>
      <c r="D193" s="468">
        <f t="shared" si="27"/>
        <v>598859.9390702671</v>
      </c>
      <c r="E193" s="468">
        <v>0</v>
      </c>
      <c r="F193" s="468">
        <f t="shared" si="28"/>
        <v>8950211.87704754</v>
      </c>
      <c r="G193" s="469">
        <f t="shared" si="29"/>
        <v>2605.5929773064163</v>
      </c>
      <c r="H193" s="460">
        <f t="shared" si="30"/>
        <v>1181.5270226935836</v>
      </c>
      <c r="I193" s="380">
        <f t="shared" si="31"/>
      </c>
      <c r="J193" s="380">
        <f t="shared" si="32"/>
      </c>
      <c r="K193" s="461">
        <f t="shared" si="33"/>
        <v>945.221618154867</v>
      </c>
      <c r="L193" s="488">
        <f t="shared" si="34"/>
        <v>3246836.258361968</v>
      </c>
      <c r="M193" s="488"/>
      <c r="N193" s="478">
        <v>578</v>
      </c>
      <c r="O193" s="389" t="s">
        <v>1000</v>
      </c>
      <c r="P193" s="471">
        <v>0</v>
      </c>
      <c r="Q193" s="472" t="s">
        <v>808</v>
      </c>
      <c r="X193" s="473" t="s">
        <v>231</v>
      </c>
      <c r="Y193" s="474">
        <v>22</v>
      </c>
      <c r="Z193" s="475">
        <v>9255906.43</v>
      </c>
      <c r="AA193" s="476">
        <f t="shared" si="35"/>
        <v>42072301.95454545</v>
      </c>
      <c r="AB193" s="475">
        <v>598859.9390702671</v>
      </c>
      <c r="AE193" s="489">
        <v>578</v>
      </c>
      <c r="AF193">
        <f t="shared" si="36"/>
        <v>0</v>
      </c>
      <c r="AH193" s="477">
        <v>9185.443589423232</v>
      </c>
      <c r="AI193">
        <f t="shared" si="37"/>
        <v>9185443.589423232</v>
      </c>
      <c r="AJ193" s="490">
        <v>599.771324</v>
      </c>
      <c r="AK193">
        <f t="shared" si="38"/>
        <v>599771.324</v>
      </c>
    </row>
    <row r="194" spans="1:37" ht="15" customHeight="1">
      <c r="A194" s="453" t="s">
        <v>1001</v>
      </c>
      <c r="B194" s="467">
        <v>4969</v>
      </c>
      <c r="C194" s="468">
        <f t="shared" si="26"/>
        <v>12550557.443743592</v>
      </c>
      <c r="D194" s="468">
        <f t="shared" si="27"/>
        <v>1424271.9201582635</v>
      </c>
      <c r="E194" s="468">
        <v>0</v>
      </c>
      <c r="F194" s="468">
        <f t="shared" si="28"/>
        <v>13974829.363901855</v>
      </c>
      <c r="G194" s="469">
        <f t="shared" si="29"/>
        <v>2812.4027699540866</v>
      </c>
      <c r="H194" s="460">
        <f t="shared" si="30"/>
        <v>974.7172300459133</v>
      </c>
      <c r="I194" s="380">
        <f t="shared" si="31"/>
      </c>
      <c r="J194" s="380">
        <f t="shared" si="32"/>
      </c>
      <c r="K194" s="461">
        <f t="shared" si="33"/>
        <v>779.7737840367307</v>
      </c>
      <c r="L194" s="488">
        <f t="shared" si="34"/>
        <v>3874695.9328785148</v>
      </c>
      <c r="M194" s="488"/>
      <c r="N194" s="478">
        <v>580</v>
      </c>
      <c r="O194" s="389" t="s">
        <v>1001</v>
      </c>
      <c r="P194" s="471">
        <v>0</v>
      </c>
      <c r="Q194" s="472" t="s">
        <v>837</v>
      </c>
      <c r="X194" s="473" t="s">
        <v>232</v>
      </c>
      <c r="Y194" s="474">
        <v>19.5</v>
      </c>
      <c r="Z194" s="475">
        <v>12329262.98</v>
      </c>
      <c r="AA194" s="476">
        <f t="shared" si="35"/>
        <v>63226989.64102564</v>
      </c>
      <c r="AB194" s="475">
        <v>1424271.9201582635</v>
      </c>
      <c r="AE194" s="489">
        <v>580</v>
      </c>
      <c r="AF194">
        <f t="shared" si="36"/>
        <v>0</v>
      </c>
      <c r="AH194" s="477">
        <v>12269.897540351018</v>
      </c>
      <c r="AI194">
        <f t="shared" si="37"/>
        <v>12269897.540351018</v>
      </c>
      <c r="AJ194" s="490">
        <v>1426.439472</v>
      </c>
      <c r="AK194">
        <f t="shared" si="38"/>
        <v>1426439.472</v>
      </c>
    </row>
    <row r="195" spans="1:37" ht="15" customHeight="1">
      <c r="A195" s="453" t="s">
        <v>1002</v>
      </c>
      <c r="B195" s="467">
        <v>6562</v>
      </c>
      <c r="C195" s="468">
        <f t="shared" si="26"/>
        <v>16993237.98590909</v>
      </c>
      <c r="D195" s="468">
        <f t="shared" si="27"/>
        <v>2038320.5760279808</v>
      </c>
      <c r="E195" s="468">
        <v>0</v>
      </c>
      <c r="F195" s="468">
        <f t="shared" si="28"/>
        <v>19031558.56193707</v>
      </c>
      <c r="G195" s="469">
        <f t="shared" si="29"/>
        <v>2900.2679917612118</v>
      </c>
      <c r="H195" s="460">
        <f t="shared" si="30"/>
        <v>886.8520082387881</v>
      </c>
      <c r="I195" s="380">
        <f t="shared" si="31"/>
      </c>
      <c r="J195" s="380">
        <f t="shared" si="32"/>
      </c>
      <c r="K195" s="461">
        <f t="shared" si="33"/>
        <v>709.4816065910305</v>
      </c>
      <c r="L195" s="488">
        <f t="shared" si="34"/>
        <v>4655618.302450342</v>
      </c>
      <c r="M195" s="488"/>
      <c r="N195" s="478">
        <v>581</v>
      </c>
      <c r="O195" s="389" t="s">
        <v>1002</v>
      </c>
      <c r="P195" s="471">
        <v>0</v>
      </c>
      <c r="Q195" s="472" t="s">
        <v>765</v>
      </c>
      <c r="X195" s="473" t="s">
        <v>233</v>
      </c>
      <c r="Y195" s="474">
        <v>22</v>
      </c>
      <c r="Z195" s="475">
        <v>18833815.4</v>
      </c>
      <c r="AA195" s="476">
        <f t="shared" si="35"/>
        <v>85608251.81818181</v>
      </c>
      <c r="AB195" s="475">
        <v>2038320.5760279808</v>
      </c>
      <c r="AE195" s="489">
        <v>581</v>
      </c>
      <c r="AF195">
        <f t="shared" si="36"/>
        <v>0</v>
      </c>
      <c r="AH195" s="477">
        <v>18857.967686335935</v>
      </c>
      <c r="AI195">
        <f t="shared" si="37"/>
        <v>18857967.686335936</v>
      </c>
      <c r="AJ195" s="490">
        <v>2041.4226280000003</v>
      </c>
      <c r="AK195">
        <f t="shared" si="38"/>
        <v>2041422.6280000003</v>
      </c>
    </row>
    <row r="196" spans="1:37" ht="15" customHeight="1">
      <c r="A196" s="453" t="s">
        <v>1003</v>
      </c>
      <c r="B196" s="467">
        <v>958</v>
      </c>
      <c r="C196" s="468">
        <f t="shared" si="26"/>
        <v>2518138.695797753</v>
      </c>
      <c r="D196" s="468">
        <f t="shared" si="27"/>
        <v>351738.91230309365</v>
      </c>
      <c r="E196" s="468">
        <v>0</v>
      </c>
      <c r="F196" s="468">
        <f t="shared" si="28"/>
        <v>2869877.608100847</v>
      </c>
      <c r="G196" s="469">
        <f t="shared" si="29"/>
        <v>2995.6968769319906</v>
      </c>
      <c r="H196" s="460">
        <f t="shared" si="30"/>
        <v>791.4231230680093</v>
      </c>
      <c r="I196" s="380">
        <f t="shared" si="31"/>
      </c>
      <c r="J196" s="380">
        <f t="shared" si="32"/>
      </c>
      <c r="K196" s="461">
        <f t="shared" si="33"/>
        <v>633.1384984544075</v>
      </c>
      <c r="L196" s="488">
        <f t="shared" si="34"/>
        <v>606546.6815193223</v>
      </c>
      <c r="M196" s="488"/>
      <c r="N196" s="478">
        <v>583</v>
      </c>
      <c r="O196" s="389" t="s">
        <v>1003</v>
      </c>
      <c r="P196" s="471">
        <v>0</v>
      </c>
      <c r="Q196" s="472" t="s">
        <v>770</v>
      </c>
      <c r="X196" s="473" t="s">
        <v>235</v>
      </c>
      <c r="Y196" s="474">
        <v>22.25</v>
      </c>
      <c r="Z196" s="475">
        <v>2822598.79</v>
      </c>
      <c r="AA196" s="476">
        <f t="shared" si="35"/>
        <v>12685837.258426966</v>
      </c>
      <c r="AB196" s="475">
        <v>351738.91230309365</v>
      </c>
      <c r="AE196" s="489">
        <v>583</v>
      </c>
      <c r="AF196">
        <f t="shared" si="36"/>
        <v>0</v>
      </c>
      <c r="AH196" s="477">
        <v>2845.4748566850553</v>
      </c>
      <c r="AI196">
        <f t="shared" si="37"/>
        <v>2845474.8566850554</v>
      </c>
      <c r="AJ196" s="490">
        <v>352.27421200000003</v>
      </c>
      <c r="AK196">
        <f t="shared" si="38"/>
        <v>352274.21200000006</v>
      </c>
    </row>
    <row r="197" spans="1:37" ht="15" customHeight="1">
      <c r="A197" s="453" t="s">
        <v>1004</v>
      </c>
      <c r="B197" s="467">
        <v>2860</v>
      </c>
      <c r="C197" s="468">
        <f t="shared" si="26"/>
        <v>5773241.499232558</v>
      </c>
      <c r="D197" s="468">
        <f t="shared" si="27"/>
        <v>619543.2418429318</v>
      </c>
      <c r="E197" s="468">
        <v>0</v>
      </c>
      <c r="F197" s="468">
        <f t="shared" si="28"/>
        <v>6392784.74107549</v>
      </c>
      <c r="G197" s="469">
        <f t="shared" si="29"/>
        <v>2235.239419956465</v>
      </c>
      <c r="H197" s="460">
        <f t="shared" si="30"/>
        <v>1551.8805800435348</v>
      </c>
      <c r="I197" s="380">
        <f t="shared" si="31"/>
      </c>
      <c r="J197" s="380">
        <f t="shared" si="32"/>
      </c>
      <c r="K197" s="461">
        <f t="shared" si="33"/>
        <v>1241.5044640348278</v>
      </c>
      <c r="L197" s="488">
        <f t="shared" si="34"/>
        <v>3550702.7671396076</v>
      </c>
      <c r="M197" s="488"/>
      <c r="N197" s="478">
        <v>584</v>
      </c>
      <c r="O197" s="389" t="s">
        <v>1004</v>
      </c>
      <c r="P197" s="471">
        <v>0</v>
      </c>
      <c r="Q197" s="472" t="s">
        <v>785</v>
      </c>
      <c r="X197" s="473" t="s">
        <v>237</v>
      </c>
      <c r="Y197" s="474">
        <v>21.5</v>
      </c>
      <c r="Z197" s="475">
        <v>6253133.11</v>
      </c>
      <c r="AA197" s="476">
        <f t="shared" si="35"/>
        <v>29084340.046511628</v>
      </c>
      <c r="AB197" s="475">
        <v>619543.2418429318</v>
      </c>
      <c r="AE197" s="489">
        <v>584</v>
      </c>
      <c r="AF197">
        <f t="shared" si="36"/>
        <v>0</v>
      </c>
      <c r="AH197" s="477">
        <v>6400.116248970903</v>
      </c>
      <c r="AI197">
        <f t="shared" si="37"/>
        <v>6400116.248970903</v>
      </c>
      <c r="AJ197" s="490">
        <v>620.4861040000001</v>
      </c>
      <c r="AK197">
        <f t="shared" si="38"/>
        <v>620486.104</v>
      </c>
    </row>
    <row r="198" spans="1:37" ht="15" customHeight="1">
      <c r="A198" s="453" t="s">
        <v>1005</v>
      </c>
      <c r="B198" s="467">
        <v>1739</v>
      </c>
      <c r="C198" s="468">
        <f t="shared" si="26"/>
        <v>3808182.4214651166</v>
      </c>
      <c r="D198" s="468">
        <f t="shared" si="27"/>
        <v>804241.3719306347</v>
      </c>
      <c r="E198" s="468">
        <v>0</v>
      </c>
      <c r="F198" s="468">
        <f t="shared" si="28"/>
        <v>4612423.793395751</v>
      </c>
      <c r="G198" s="469">
        <f t="shared" si="29"/>
        <v>2652.3426068980743</v>
      </c>
      <c r="H198" s="460">
        <f t="shared" si="30"/>
        <v>1134.7773931019256</v>
      </c>
      <c r="I198" s="380">
        <f t="shared" si="31"/>
      </c>
      <c r="J198" s="380">
        <f t="shared" si="32"/>
      </c>
      <c r="K198" s="461">
        <f t="shared" si="33"/>
        <v>907.8219144815405</v>
      </c>
      <c r="L198" s="488">
        <f t="shared" si="34"/>
        <v>1578702.309283399</v>
      </c>
      <c r="M198" s="488"/>
      <c r="N198" s="478">
        <v>588</v>
      </c>
      <c r="O198" s="389" t="s">
        <v>1005</v>
      </c>
      <c r="P198" s="471">
        <v>0</v>
      </c>
      <c r="Q198" s="472" t="s">
        <v>767</v>
      </c>
      <c r="X198" s="473" t="s">
        <v>238</v>
      </c>
      <c r="Y198" s="474">
        <v>21.5</v>
      </c>
      <c r="Z198" s="475">
        <v>4124731.59</v>
      </c>
      <c r="AA198" s="476">
        <f t="shared" si="35"/>
        <v>19184798.093023255</v>
      </c>
      <c r="AB198" s="475">
        <v>804241.3719306347</v>
      </c>
      <c r="AE198" s="489">
        <v>588</v>
      </c>
      <c r="AF198">
        <f t="shared" si="36"/>
        <v>0</v>
      </c>
      <c r="AH198" s="477">
        <v>4058.0082964204094</v>
      </c>
      <c r="AI198">
        <f t="shared" si="37"/>
        <v>4058008.2964204093</v>
      </c>
      <c r="AJ198" s="490">
        <v>805.46532</v>
      </c>
      <c r="AK198">
        <f t="shared" si="38"/>
        <v>805465.3200000001</v>
      </c>
    </row>
    <row r="199" spans="1:37" ht="15" customHeight="1">
      <c r="A199" s="453" t="s">
        <v>1006</v>
      </c>
      <c r="B199" s="467">
        <v>3920</v>
      </c>
      <c r="C199" s="468">
        <f t="shared" si="26"/>
        <v>10106370.83721839</v>
      </c>
      <c r="D199" s="468">
        <f t="shared" si="27"/>
        <v>1181463.8176957117</v>
      </c>
      <c r="E199" s="468">
        <v>0</v>
      </c>
      <c r="F199" s="468">
        <f t="shared" si="28"/>
        <v>11287834.654914103</v>
      </c>
      <c r="G199" s="469">
        <f t="shared" si="29"/>
        <v>2879.5496568658427</v>
      </c>
      <c r="H199" s="460">
        <f t="shared" si="30"/>
        <v>907.5703431341572</v>
      </c>
      <c r="I199" s="380">
        <f t="shared" si="31"/>
      </c>
      <c r="J199" s="380">
        <f t="shared" si="32"/>
      </c>
      <c r="K199" s="461">
        <f t="shared" si="33"/>
        <v>726.0562745073257</v>
      </c>
      <c r="L199" s="488">
        <f t="shared" si="34"/>
        <v>2846140.5960687166</v>
      </c>
      <c r="M199" s="488"/>
      <c r="N199" s="478">
        <v>592</v>
      </c>
      <c r="O199" s="389" t="s">
        <v>1006</v>
      </c>
      <c r="P199" s="471">
        <v>0</v>
      </c>
      <c r="Q199" s="472" t="s">
        <v>790</v>
      </c>
      <c r="X199" s="473" t="s">
        <v>239</v>
      </c>
      <c r="Y199" s="474">
        <v>21.75</v>
      </c>
      <c r="Z199" s="475">
        <v>11073731.27</v>
      </c>
      <c r="AA199" s="476">
        <f t="shared" si="35"/>
        <v>50913706.98850574</v>
      </c>
      <c r="AB199" s="475">
        <v>1181463.8176957117</v>
      </c>
      <c r="AE199" s="489">
        <v>592</v>
      </c>
      <c r="AF199">
        <f t="shared" si="36"/>
        <v>0</v>
      </c>
      <c r="AH199" s="477">
        <v>11130.057155046437</v>
      </c>
      <c r="AI199">
        <f t="shared" si="37"/>
        <v>11130057.155046437</v>
      </c>
      <c r="AJ199" s="490">
        <v>1183.261848</v>
      </c>
      <c r="AK199">
        <f t="shared" si="38"/>
        <v>1183261.848</v>
      </c>
    </row>
    <row r="200" spans="1:37" ht="15" customHeight="1">
      <c r="A200" s="453" t="s">
        <v>1007</v>
      </c>
      <c r="B200" s="467">
        <v>18220</v>
      </c>
      <c r="C200" s="468">
        <f t="shared" si="26"/>
        <v>51546762.71813637</v>
      </c>
      <c r="D200" s="468">
        <f t="shared" si="27"/>
        <v>4522798.30439463</v>
      </c>
      <c r="E200" s="468">
        <v>0</v>
      </c>
      <c r="F200" s="468">
        <f t="shared" si="28"/>
        <v>56069561.022531</v>
      </c>
      <c r="G200" s="469">
        <f t="shared" si="29"/>
        <v>3077.3633931136665</v>
      </c>
      <c r="H200" s="460">
        <f t="shared" si="30"/>
        <v>709.7566068863334</v>
      </c>
      <c r="I200" s="380">
        <f t="shared" si="31"/>
      </c>
      <c r="J200" s="380">
        <f t="shared" si="32"/>
      </c>
      <c r="K200" s="461">
        <f t="shared" si="33"/>
        <v>567.8052855090667</v>
      </c>
      <c r="L200" s="488">
        <f t="shared" si="34"/>
        <v>10345412.301975196</v>
      </c>
      <c r="M200" s="488"/>
      <c r="N200" s="478">
        <v>593</v>
      </c>
      <c r="O200" s="389" t="s">
        <v>1007</v>
      </c>
      <c r="P200" s="471">
        <v>0</v>
      </c>
      <c r="Q200" s="472" t="s">
        <v>767</v>
      </c>
      <c r="X200" s="473" t="s">
        <v>240</v>
      </c>
      <c r="Y200" s="474">
        <v>22</v>
      </c>
      <c r="Z200" s="475">
        <v>57129913.34</v>
      </c>
      <c r="AA200" s="476">
        <f t="shared" si="35"/>
        <v>259681424.27272728</v>
      </c>
      <c r="AB200" s="475">
        <v>4522798.30439463</v>
      </c>
      <c r="AE200" s="489">
        <v>593</v>
      </c>
      <c r="AF200">
        <f t="shared" si="36"/>
        <v>0</v>
      </c>
      <c r="AH200" s="477">
        <v>57521.189194037695</v>
      </c>
      <c r="AI200">
        <f t="shared" si="37"/>
        <v>57521189.1940377</v>
      </c>
      <c r="AJ200" s="490">
        <v>4529.6813999999995</v>
      </c>
      <c r="AK200">
        <f t="shared" si="38"/>
        <v>4529681.399999999</v>
      </c>
    </row>
    <row r="201" spans="1:37" ht="15" customHeight="1">
      <c r="A201" s="453" t="s">
        <v>1008</v>
      </c>
      <c r="B201" s="467">
        <v>4624</v>
      </c>
      <c r="C201" s="468">
        <f t="shared" si="26"/>
        <v>10082054.413816093</v>
      </c>
      <c r="D201" s="468">
        <f t="shared" si="27"/>
        <v>1450144.9608422217</v>
      </c>
      <c r="E201" s="468">
        <v>0</v>
      </c>
      <c r="F201" s="468">
        <f t="shared" si="28"/>
        <v>11532199.374658315</v>
      </c>
      <c r="G201" s="469">
        <f t="shared" si="29"/>
        <v>2493.9877540351026</v>
      </c>
      <c r="H201" s="460">
        <f t="shared" si="30"/>
        <v>1293.1322459648973</v>
      </c>
      <c r="I201" s="380">
        <f t="shared" si="31"/>
      </c>
      <c r="J201" s="380">
        <f t="shared" si="32"/>
      </c>
      <c r="K201" s="461">
        <f t="shared" si="33"/>
        <v>1034.5057967719179</v>
      </c>
      <c r="L201" s="488">
        <f t="shared" si="34"/>
        <v>4783554.804273348</v>
      </c>
      <c r="M201" s="488"/>
      <c r="N201" s="478">
        <v>595</v>
      </c>
      <c r="O201" s="389" t="s">
        <v>1008</v>
      </c>
      <c r="P201" s="471">
        <v>0</v>
      </c>
      <c r="Q201" s="472" t="s">
        <v>819</v>
      </c>
      <c r="X201" s="473" t="s">
        <v>241</v>
      </c>
      <c r="Y201" s="474">
        <v>21.75</v>
      </c>
      <c r="Z201" s="475">
        <v>11047087.33</v>
      </c>
      <c r="AA201" s="476">
        <f t="shared" si="35"/>
        <v>50791206.11494253</v>
      </c>
      <c r="AB201" s="475">
        <v>1450144.9608422217</v>
      </c>
      <c r="AE201" s="489">
        <v>595</v>
      </c>
      <c r="AF201">
        <f t="shared" si="36"/>
        <v>0</v>
      </c>
      <c r="AH201" s="477">
        <v>10943.529626614869</v>
      </c>
      <c r="AI201">
        <f t="shared" si="37"/>
        <v>10943529.626614869</v>
      </c>
      <c r="AJ201" s="490">
        <v>1452.3518880000001</v>
      </c>
      <c r="AK201">
        <f t="shared" si="38"/>
        <v>1452351.888</v>
      </c>
    </row>
    <row r="202" spans="1:37" ht="15" customHeight="1">
      <c r="A202" s="453" t="s">
        <v>1009</v>
      </c>
      <c r="B202" s="467">
        <v>19379</v>
      </c>
      <c r="C202" s="468">
        <f t="shared" si="26"/>
        <v>62632989.89654118</v>
      </c>
      <c r="D202" s="468">
        <f t="shared" si="27"/>
        <v>6329972.154900171</v>
      </c>
      <c r="E202" s="468">
        <v>0</v>
      </c>
      <c r="F202" s="468">
        <f t="shared" si="28"/>
        <v>68962962.05144134</v>
      </c>
      <c r="G202" s="469">
        <f t="shared" si="29"/>
        <v>3558.643998732718</v>
      </c>
      <c r="H202" s="460">
        <f t="shared" si="30"/>
        <v>228.47600126728184</v>
      </c>
      <c r="I202" s="380">
        <f t="shared" si="31"/>
      </c>
      <c r="J202" s="380">
        <f t="shared" si="32"/>
      </c>
      <c r="K202" s="461">
        <f t="shared" si="33"/>
        <v>182.78080101382548</v>
      </c>
      <c r="L202" s="488">
        <f t="shared" si="34"/>
        <v>3542109.142846924</v>
      </c>
      <c r="M202" s="488"/>
      <c r="N202" s="478">
        <v>598</v>
      </c>
      <c r="O202" s="479" t="s">
        <v>1010</v>
      </c>
      <c r="P202" s="471">
        <v>3</v>
      </c>
      <c r="Q202" s="472" t="s">
        <v>835</v>
      </c>
      <c r="X202" s="473" t="s">
        <v>242</v>
      </c>
      <c r="Y202" s="474">
        <v>21.25</v>
      </c>
      <c r="Z202" s="475">
        <v>67050429.99</v>
      </c>
      <c r="AA202" s="476">
        <f t="shared" si="35"/>
        <v>315531435.2470588</v>
      </c>
      <c r="AB202" s="475">
        <v>6329972.154900171</v>
      </c>
      <c r="AE202" s="489">
        <v>598</v>
      </c>
      <c r="AF202">
        <f t="shared" si="36"/>
        <v>0</v>
      </c>
      <c r="AH202" s="477">
        <v>67318.88651781692</v>
      </c>
      <c r="AI202">
        <f t="shared" si="37"/>
        <v>67318886.51781692</v>
      </c>
      <c r="AJ202" s="490">
        <v>6339.605528</v>
      </c>
      <c r="AK202">
        <f t="shared" si="38"/>
        <v>6339605.528</v>
      </c>
    </row>
    <row r="203" spans="1:37" ht="15" customHeight="1">
      <c r="A203" s="453" t="s">
        <v>1011</v>
      </c>
      <c r="B203" s="467">
        <v>11084</v>
      </c>
      <c r="C203" s="468">
        <f t="shared" si="26"/>
        <v>29209120.344292685</v>
      </c>
      <c r="D203" s="468">
        <f t="shared" si="27"/>
        <v>2662744.57800516</v>
      </c>
      <c r="E203" s="468">
        <v>0</v>
      </c>
      <c r="F203" s="468">
        <f t="shared" si="28"/>
        <v>31871864.922297847</v>
      </c>
      <c r="G203" s="469">
        <f t="shared" si="29"/>
        <v>2875.4840240254284</v>
      </c>
      <c r="H203" s="460">
        <f t="shared" si="30"/>
        <v>911.6359759745715</v>
      </c>
      <c r="I203" s="380">
        <f t="shared" si="31"/>
      </c>
      <c r="J203" s="380">
        <f t="shared" si="32"/>
      </c>
      <c r="K203" s="461">
        <f t="shared" si="33"/>
        <v>729.3087807796572</v>
      </c>
      <c r="L203" s="488">
        <f t="shared" si="34"/>
        <v>8083658.526161721</v>
      </c>
      <c r="M203" s="488"/>
      <c r="N203" s="478">
        <v>599</v>
      </c>
      <c r="O203" s="479" t="s">
        <v>234</v>
      </c>
      <c r="P203" s="471">
        <v>3</v>
      </c>
      <c r="Q203" s="472" t="s">
        <v>835</v>
      </c>
      <c r="X203" s="473" t="s">
        <v>1011</v>
      </c>
      <c r="Y203" s="474">
        <v>20.5</v>
      </c>
      <c r="Z203" s="475">
        <v>30165590.28</v>
      </c>
      <c r="AA203" s="476">
        <f t="shared" si="35"/>
        <v>147149220.87804878</v>
      </c>
      <c r="AB203" s="475">
        <v>2662744.57800516</v>
      </c>
      <c r="AE203" s="489">
        <v>599</v>
      </c>
      <c r="AF203">
        <f t="shared" si="36"/>
        <v>0</v>
      </c>
      <c r="AH203" s="477">
        <v>30023.769367422632</v>
      </c>
      <c r="AI203">
        <f t="shared" si="37"/>
        <v>30023769.367422633</v>
      </c>
      <c r="AJ203" s="490">
        <v>2666.7969200000002</v>
      </c>
      <c r="AK203">
        <f t="shared" si="38"/>
        <v>2666796.9200000004</v>
      </c>
    </row>
    <row r="204" spans="1:37" ht="15" customHeight="1">
      <c r="A204" s="453" t="s">
        <v>1012</v>
      </c>
      <c r="B204" s="467">
        <v>4127</v>
      </c>
      <c r="C204" s="468">
        <f t="shared" si="26"/>
        <v>9155281.663738096</v>
      </c>
      <c r="D204" s="468">
        <f t="shared" si="27"/>
        <v>1581220.4294665477</v>
      </c>
      <c r="E204" s="468">
        <v>0</v>
      </c>
      <c r="F204" s="468">
        <f t="shared" si="28"/>
        <v>10736502.093204644</v>
      </c>
      <c r="G204" s="469">
        <f t="shared" si="29"/>
        <v>2601.5270397878953</v>
      </c>
      <c r="H204" s="460">
        <f t="shared" si="30"/>
        <v>1185.5929602121046</v>
      </c>
      <c r="I204" s="380">
        <f t="shared" si="31"/>
      </c>
      <c r="J204" s="380">
        <f t="shared" si="32"/>
      </c>
      <c r="K204" s="461">
        <f t="shared" si="33"/>
        <v>948.4743681696837</v>
      </c>
      <c r="L204" s="488">
        <f t="shared" si="34"/>
        <v>3914353.7174362843</v>
      </c>
      <c r="M204" s="488"/>
      <c r="N204" s="478">
        <v>601</v>
      </c>
      <c r="O204" s="389" t="s">
        <v>1012</v>
      </c>
      <c r="P204" s="471">
        <v>0</v>
      </c>
      <c r="Q204" s="472" t="s">
        <v>790</v>
      </c>
      <c r="X204" s="473" t="s">
        <v>243</v>
      </c>
      <c r="Y204" s="474">
        <v>21</v>
      </c>
      <c r="Z204" s="475">
        <v>9685688.41</v>
      </c>
      <c r="AA204" s="476">
        <f t="shared" si="35"/>
        <v>46122325.76190476</v>
      </c>
      <c r="AB204" s="475">
        <v>1581220.4294665477</v>
      </c>
      <c r="AE204" s="489">
        <v>601</v>
      </c>
      <c r="AF204">
        <f t="shared" si="36"/>
        <v>0</v>
      </c>
      <c r="AH204" s="477">
        <v>9446.316047833801</v>
      </c>
      <c r="AI204">
        <f t="shared" si="37"/>
        <v>9446316.047833802</v>
      </c>
      <c r="AJ204" s="490">
        <v>1583.6268360000001</v>
      </c>
      <c r="AK204">
        <f t="shared" si="38"/>
        <v>1583626.8360000001</v>
      </c>
    </row>
    <row r="205" spans="1:37" ht="15" customHeight="1">
      <c r="A205" s="453" t="s">
        <v>1013</v>
      </c>
      <c r="B205" s="467">
        <v>19237</v>
      </c>
      <c r="C205" s="468">
        <f t="shared" si="26"/>
        <v>77908211.2429</v>
      </c>
      <c r="D205" s="468">
        <f t="shared" si="27"/>
        <v>3874194.444934558</v>
      </c>
      <c r="E205" s="468">
        <v>0</v>
      </c>
      <c r="F205" s="468">
        <f t="shared" si="28"/>
        <v>81782405.68783456</v>
      </c>
      <c r="G205" s="469">
        <f t="shared" si="29"/>
        <v>4251.3076720816425</v>
      </c>
      <c r="H205" s="460">
        <f t="shared" si="30"/>
        <v>-464.18767208164263</v>
      </c>
      <c r="I205" s="380">
        <f t="shared" si="31"/>
        <v>6.140288936145251</v>
      </c>
      <c r="J205" s="380">
        <f t="shared" si="32"/>
        <v>36.140288936145254</v>
      </c>
      <c r="K205" s="461">
        <f t="shared" si="33"/>
        <v>-167.75876589627208</v>
      </c>
      <c r="L205" s="488">
        <f t="shared" si="34"/>
        <v>-3227175.379546586</v>
      </c>
      <c r="M205" s="488"/>
      <c r="N205" s="478">
        <v>604</v>
      </c>
      <c r="O205" s="479" t="s">
        <v>1014</v>
      </c>
      <c r="P205" s="471">
        <v>0</v>
      </c>
      <c r="Q205" s="472" t="s">
        <v>765</v>
      </c>
      <c r="X205" s="473" t="s">
        <v>244</v>
      </c>
      <c r="Y205" s="474">
        <v>20</v>
      </c>
      <c r="Z205" s="475">
        <v>78496938.28</v>
      </c>
      <c r="AA205" s="476">
        <f t="shared" si="35"/>
        <v>392484691.4</v>
      </c>
      <c r="AB205" s="475">
        <v>3874194.444934558</v>
      </c>
      <c r="AE205" s="489">
        <v>604</v>
      </c>
      <c r="AF205">
        <f t="shared" si="36"/>
        <v>0</v>
      </c>
      <c r="AH205" s="477">
        <v>78387.62598173313</v>
      </c>
      <c r="AI205">
        <f t="shared" si="37"/>
        <v>78387625.98173313</v>
      </c>
      <c r="AJ205" s="490">
        <v>3880.090452</v>
      </c>
      <c r="AK205">
        <f t="shared" si="38"/>
        <v>3880090.452</v>
      </c>
    </row>
    <row r="206" spans="1:37" ht="15" customHeight="1">
      <c r="A206" s="453" t="s">
        <v>1015</v>
      </c>
      <c r="B206" s="467">
        <v>4414</v>
      </c>
      <c r="C206" s="468">
        <f t="shared" si="26"/>
        <v>9426974.106271606</v>
      </c>
      <c r="D206" s="468">
        <f t="shared" si="27"/>
        <v>1147124.6732921007</v>
      </c>
      <c r="E206" s="468">
        <v>0</v>
      </c>
      <c r="F206" s="468">
        <f t="shared" si="28"/>
        <v>10574098.779563706</v>
      </c>
      <c r="G206" s="469">
        <f t="shared" si="29"/>
        <v>2395.5819618404407</v>
      </c>
      <c r="H206" s="460">
        <f t="shared" si="30"/>
        <v>1391.5380381595592</v>
      </c>
      <c r="I206" s="380">
        <f t="shared" si="31"/>
      </c>
      <c r="J206" s="380">
        <f t="shared" si="32"/>
      </c>
      <c r="K206" s="461">
        <f t="shared" si="33"/>
        <v>1113.2304305276473</v>
      </c>
      <c r="L206" s="488">
        <f t="shared" si="34"/>
        <v>4913799.120349035</v>
      </c>
      <c r="M206" s="488"/>
      <c r="N206" s="478">
        <v>607</v>
      </c>
      <c r="O206" s="389" t="s">
        <v>1015</v>
      </c>
      <c r="P206" s="471">
        <v>0</v>
      </c>
      <c r="Q206" s="472" t="s">
        <v>826</v>
      </c>
      <c r="X206" s="473" t="s">
        <v>245</v>
      </c>
      <c r="Y206" s="474">
        <v>20.25</v>
      </c>
      <c r="Z206" s="475">
        <v>9616938.32</v>
      </c>
      <c r="AA206" s="476">
        <f t="shared" si="35"/>
        <v>47491053.43209877</v>
      </c>
      <c r="AB206" s="475">
        <v>1147124.6732921007</v>
      </c>
      <c r="AD206" s="1"/>
      <c r="AE206" s="489">
        <v>607</v>
      </c>
      <c r="AF206">
        <f t="shared" si="36"/>
        <v>0</v>
      </c>
      <c r="AG206" s="1"/>
      <c r="AH206" s="477">
        <v>9628.157069083472</v>
      </c>
      <c r="AI206">
        <f t="shared" si="37"/>
        <v>9628157.069083473</v>
      </c>
      <c r="AJ206" s="490">
        <v>1148.870444</v>
      </c>
      <c r="AK206">
        <f t="shared" si="38"/>
        <v>1148870.444</v>
      </c>
    </row>
    <row r="207" spans="1:37" s="1" customFormat="1" ht="15" customHeight="1">
      <c r="A207" s="453" t="s">
        <v>1016</v>
      </c>
      <c r="B207" s="467">
        <v>2166</v>
      </c>
      <c r="C207" s="468">
        <f t="shared" si="26"/>
        <v>5278946.327682926</v>
      </c>
      <c r="D207" s="468">
        <f t="shared" si="27"/>
        <v>543433.9060977285</v>
      </c>
      <c r="E207" s="468">
        <v>0</v>
      </c>
      <c r="F207" s="468">
        <f t="shared" si="28"/>
        <v>5822380.233780655</v>
      </c>
      <c r="G207" s="469">
        <f t="shared" si="29"/>
        <v>2688.0795169809116</v>
      </c>
      <c r="H207" s="460">
        <f t="shared" si="30"/>
        <v>1099.0404830190882</v>
      </c>
      <c r="I207" s="380">
        <f t="shared" si="31"/>
      </c>
      <c r="J207" s="380">
        <f t="shared" si="32"/>
      </c>
      <c r="K207" s="461">
        <f t="shared" si="33"/>
        <v>879.2323864152706</v>
      </c>
      <c r="L207" s="488">
        <f t="shared" si="34"/>
        <v>1904417.348975476</v>
      </c>
      <c r="M207" s="488"/>
      <c r="N207" s="478">
        <v>608</v>
      </c>
      <c r="O207" s="479" t="s">
        <v>1017</v>
      </c>
      <c r="P207" s="471">
        <v>0</v>
      </c>
      <c r="Q207" s="472" t="s">
        <v>774</v>
      </c>
      <c r="R207"/>
      <c r="S207"/>
      <c r="T207"/>
      <c r="U207"/>
      <c r="V207"/>
      <c r="W207"/>
      <c r="X207" s="473" t="s">
        <v>246</v>
      </c>
      <c r="Y207" s="474">
        <v>20.5</v>
      </c>
      <c r="Z207" s="475">
        <v>5451808.55</v>
      </c>
      <c r="AA207" s="476">
        <f t="shared" si="35"/>
        <v>26594188.048780486</v>
      </c>
      <c r="AB207" s="475">
        <v>543433.9060977285</v>
      </c>
      <c r="AC207"/>
      <c r="AD207"/>
      <c r="AE207" s="489">
        <v>608</v>
      </c>
      <c r="AF207">
        <f t="shared" si="36"/>
        <v>0</v>
      </c>
      <c r="AG207"/>
      <c r="AH207" s="477">
        <v>5432.358309283028</v>
      </c>
      <c r="AI207">
        <f t="shared" si="37"/>
        <v>5432358.309283027</v>
      </c>
      <c r="AJ207" s="490">
        <v>544.26094</v>
      </c>
      <c r="AK207">
        <f t="shared" si="38"/>
        <v>544260.9400000001</v>
      </c>
    </row>
    <row r="208" spans="1:37" ht="15" customHeight="1">
      <c r="A208" s="453" t="s">
        <v>1018</v>
      </c>
      <c r="B208" s="467">
        <v>84587</v>
      </c>
      <c r="C208" s="468">
        <f t="shared" si="26"/>
        <v>267334053.57073417</v>
      </c>
      <c r="D208" s="468">
        <f t="shared" si="27"/>
        <v>16805795.545342974</v>
      </c>
      <c r="E208" s="468">
        <v>0</v>
      </c>
      <c r="F208" s="468">
        <f t="shared" si="28"/>
        <v>284139849.1160771</v>
      </c>
      <c r="G208" s="469">
        <f t="shared" si="29"/>
        <v>3359.14323851274</v>
      </c>
      <c r="H208" s="460">
        <f t="shared" si="30"/>
        <v>427.97676148725986</v>
      </c>
      <c r="I208" s="380">
        <f t="shared" si="31"/>
      </c>
      <c r="J208" s="380">
        <f t="shared" si="32"/>
      </c>
      <c r="K208" s="461">
        <f t="shared" si="33"/>
        <v>342.3814091898079</v>
      </c>
      <c r="L208" s="488">
        <f t="shared" si="34"/>
        <v>28961016.259138282</v>
      </c>
      <c r="M208" s="488"/>
      <c r="N208" s="478">
        <v>609</v>
      </c>
      <c r="O208" s="479" t="s">
        <v>1019</v>
      </c>
      <c r="P208" s="471">
        <v>0</v>
      </c>
      <c r="Q208" s="472" t="s">
        <v>774</v>
      </c>
      <c r="S208" s="1"/>
      <c r="T208" s="1"/>
      <c r="U208" s="1"/>
      <c r="X208" s="473" t="s">
        <v>247</v>
      </c>
      <c r="Y208" s="474">
        <v>19.75</v>
      </c>
      <c r="Z208" s="475">
        <v>265987282.52</v>
      </c>
      <c r="AA208" s="476">
        <f t="shared" si="35"/>
        <v>1346771050.734177</v>
      </c>
      <c r="AB208" s="475">
        <v>16805795.545342974</v>
      </c>
      <c r="AC208" s="1"/>
      <c r="AE208" s="489">
        <v>609</v>
      </c>
      <c r="AF208">
        <f t="shared" si="36"/>
        <v>0</v>
      </c>
      <c r="AH208" s="477">
        <v>266943.26445280726</v>
      </c>
      <c r="AI208">
        <f t="shared" si="37"/>
        <v>266943264.45280725</v>
      </c>
      <c r="AJ208" s="490">
        <v>16831.371724</v>
      </c>
      <c r="AK208">
        <f t="shared" si="38"/>
        <v>16831371.724</v>
      </c>
    </row>
    <row r="209" spans="1:37" ht="15" customHeight="1">
      <c r="A209" s="453" t="s">
        <v>1020</v>
      </c>
      <c r="B209" s="467">
        <v>5121</v>
      </c>
      <c r="C209" s="468">
        <f t="shared" si="26"/>
        <v>17527802.821219515</v>
      </c>
      <c r="D209" s="468">
        <f t="shared" si="27"/>
        <v>734562.0026343568</v>
      </c>
      <c r="E209" s="468">
        <v>0</v>
      </c>
      <c r="F209" s="468">
        <f t="shared" si="28"/>
        <v>18262364.823853873</v>
      </c>
      <c r="G209" s="469">
        <f t="shared" si="29"/>
        <v>3566.1716117660367</v>
      </c>
      <c r="H209" s="460">
        <f t="shared" si="30"/>
        <v>220.94838823396321</v>
      </c>
      <c r="I209" s="380">
        <f t="shared" si="31"/>
      </c>
      <c r="J209" s="380">
        <f t="shared" si="32"/>
      </c>
      <c r="K209" s="461">
        <f t="shared" si="33"/>
        <v>176.75871058717058</v>
      </c>
      <c r="L209" s="488">
        <f t="shared" si="34"/>
        <v>905181.3569169006</v>
      </c>
      <c r="M209" s="488"/>
      <c r="N209" s="478">
        <v>611</v>
      </c>
      <c r="O209" s="479" t="s">
        <v>1021</v>
      </c>
      <c r="P209" s="471">
        <v>0</v>
      </c>
      <c r="Q209" s="472" t="s">
        <v>762</v>
      </c>
      <c r="X209" s="473" t="s">
        <v>248</v>
      </c>
      <c r="Y209" s="474">
        <v>20.5</v>
      </c>
      <c r="Z209" s="475">
        <v>18101761.1</v>
      </c>
      <c r="AA209" s="476">
        <f t="shared" si="35"/>
        <v>88301273.6585366</v>
      </c>
      <c r="AB209" s="475">
        <v>734562.0026343568</v>
      </c>
      <c r="AE209" s="489">
        <v>611</v>
      </c>
      <c r="AF209">
        <f t="shared" si="36"/>
        <v>0</v>
      </c>
      <c r="AH209" s="477">
        <v>18129.941386947798</v>
      </c>
      <c r="AI209">
        <f t="shared" si="37"/>
        <v>18129941.386947796</v>
      </c>
      <c r="AJ209" s="490">
        <v>735.679908</v>
      </c>
      <c r="AK209">
        <f t="shared" si="38"/>
        <v>735679.9079999999</v>
      </c>
    </row>
    <row r="210" spans="1:37" ht="15" customHeight="1">
      <c r="A210" s="453" t="s">
        <v>1022</v>
      </c>
      <c r="B210" s="467">
        <v>3310</v>
      </c>
      <c r="C210" s="468">
        <f t="shared" si="26"/>
        <v>7291145.207816093</v>
      </c>
      <c r="D210" s="468">
        <f t="shared" si="27"/>
        <v>661900.7913038296</v>
      </c>
      <c r="E210" s="468">
        <v>0</v>
      </c>
      <c r="F210" s="468">
        <f t="shared" si="28"/>
        <v>7953045.9991199225</v>
      </c>
      <c r="G210" s="469">
        <f t="shared" si="29"/>
        <v>2402.7329302477106</v>
      </c>
      <c r="H210" s="460">
        <f t="shared" si="30"/>
        <v>1384.3870697522893</v>
      </c>
      <c r="I210" s="380">
        <f t="shared" si="31"/>
      </c>
      <c r="J210" s="380">
        <f t="shared" si="32"/>
      </c>
      <c r="K210" s="461">
        <f t="shared" si="33"/>
        <v>1107.5096558018315</v>
      </c>
      <c r="L210" s="488">
        <f t="shared" si="34"/>
        <v>3665856.960704062</v>
      </c>
      <c r="M210" s="488"/>
      <c r="N210" s="478">
        <v>614</v>
      </c>
      <c r="O210" s="389" t="s">
        <v>1022</v>
      </c>
      <c r="P210" s="471">
        <v>0</v>
      </c>
      <c r="Q210" s="472" t="s">
        <v>770</v>
      </c>
      <c r="X210" s="473" t="s">
        <v>250</v>
      </c>
      <c r="Y210" s="474">
        <v>21.75</v>
      </c>
      <c r="Z210" s="475">
        <v>7989038.2</v>
      </c>
      <c r="AA210" s="476">
        <f t="shared" si="35"/>
        <v>36731210.11494253</v>
      </c>
      <c r="AB210" s="475">
        <v>661900.7913038296</v>
      </c>
      <c r="AE210" s="489">
        <v>614</v>
      </c>
      <c r="AF210">
        <f t="shared" si="36"/>
        <v>0</v>
      </c>
      <c r="AH210" s="477">
        <v>8117.135639319342</v>
      </c>
      <c r="AI210">
        <f t="shared" si="37"/>
        <v>8117135.639319342</v>
      </c>
      <c r="AJ210" s="490">
        <v>662.908116</v>
      </c>
      <c r="AK210">
        <f t="shared" si="38"/>
        <v>662908.1159999999</v>
      </c>
    </row>
    <row r="211" spans="1:37" ht="15" customHeight="1">
      <c r="A211" s="453" t="s">
        <v>1023</v>
      </c>
      <c r="B211" s="467">
        <v>8103</v>
      </c>
      <c r="C211" s="468">
        <f aca="true" t="shared" si="39" ref="C211:C274">19.85*AA211/100</f>
        <v>17541251.728780486</v>
      </c>
      <c r="D211" s="468">
        <f aca="true" t="shared" si="40" ref="D211:D274">AB211</f>
        <v>2627146.433631533</v>
      </c>
      <c r="E211" s="468">
        <v>0</v>
      </c>
      <c r="F211" s="468">
        <f aca="true" t="shared" si="41" ref="F211:F274">C211+D211+E211</f>
        <v>20168398.162412018</v>
      </c>
      <c r="G211" s="469">
        <f aca="true" t="shared" si="42" ref="G211:G274">F211/B211</f>
        <v>2489.0038457869946</v>
      </c>
      <c r="H211" s="460">
        <f aca="true" t="shared" si="43" ref="H211:H274">$G$15-G211</f>
        <v>1298.1161542130053</v>
      </c>
      <c r="I211" s="380">
        <f aca="true" t="shared" si="44" ref="I211:I274">IF(H211&lt;0,LN(-H211),"")</f>
      </c>
      <c r="J211" s="380">
        <f aca="true" t="shared" si="45" ref="J211:J274">IF(H211&lt;0,30+I211,"")</f>
      </c>
      <c r="K211" s="461">
        <f aca="true" t="shared" si="46" ref="K211:K274">IF(H211&gt;0,H211*0.8,J211*H211/100)</f>
        <v>1038.4929233704042</v>
      </c>
      <c r="L211" s="488">
        <f aca="true" t="shared" si="47" ref="L211:L274">K211*B211</f>
        <v>8414908.158070385</v>
      </c>
      <c r="M211" s="488"/>
      <c r="N211" s="478">
        <v>615</v>
      </c>
      <c r="O211" s="389" t="s">
        <v>1023</v>
      </c>
      <c r="P211" s="471">
        <v>0</v>
      </c>
      <c r="Q211" s="472" t="s">
        <v>757</v>
      </c>
      <c r="X211" s="473" t="s">
        <v>251</v>
      </c>
      <c r="Y211" s="474">
        <v>20.5</v>
      </c>
      <c r="Z211" s="475">
        <v>18115650.4</v>
      </c>
      <c r="AA211" s="476">
        <f aca="true" t="shared" si="48" ref="AA211:AA274">100*Z211/Y211</f>
        <v>88369026.3414634</v>
      </c>
      <c r="AB211" s="475">
        <v>2627146.433631533</v>
      </c>
      <c r="AE211" s="489">
        <v>615</v>
      </c>
      <c r="AF211">
        <f aca="true" t="shared" si="49" ref="AF211:AF274">N211-AE211</f>
        <v>0</v>
      </c>
      <c r="AH211" s="477">
        <v>18125.942798318316</v>
      </c>
      <c r="AI211">
        <f aca="true" t="shared" si="50" ref="AI211:AI274">AH211*1000</f>
        <v>18125942.798318315</v>
      </c>
      <c r="AJ211" s="490">
        <v>2631.1446</v>
      </c>
      <c r="AK211">
        <f aca="true" t="shared" si="51" ref="AK211:AK274">AJ211*1000</f>
        <v>2631144.6</v>
      </c>
    </row>
    <row r="212" spans="1:37" ht="15" customHeight="1">
      <c r="A212" s="453" t="s">
        <v>1024</v>
      </c>
      <c r="B212" s="467">
        <v>1940</v>
      </c>
      <c r="C212" s="468">
        <f t="shared" si="39"/>
        <v>5627053.570651162</v>
      </c>
      <c r="D212" s="468">
        <f t="shared" si="40"/>
        <v>270734.9255636785</v>
      </c>
      <c r="E212" s="468">
        <v>0</v>
      </c>
      <c r="F212" s="468">
        <f t="shared" si="41"/>
        <v>5897788.496214841</v>
      </c>
      <c r="G212" s="469">
        <f t="shared" si="42"/>
        <v>3040.0971629973405</v>
      </c>
      <c r="H212" s="460">
        <f t="shared" si="43"/>
        <v>747.0228370026593</v>
      </c>
      <c r="I212" s="380">
        <f t="shared" si="44"/>
      </c>
      <c r="J212" s="380">
        <f t="shared" si="45"/>
      </c>
      <c r="K212" s="461">
        <f t="shared" si="46"/>
        <v>597.6182696021275</v>
      </c>
      <c r="L212" s="488">
        <f t="shared" si="47"/>
        <v>1159379.4430281273</v>
      </c>
      <c r="M212" s="488"/>
      <c r="N212" s="478">
        <v>616</v>
      </c>
      <c r="O212" s="389" t="s">
        <v>1024</v>
      </c>
      <c r="P212" s="471">
        <v>0</v>
      </c>
      <c r="Q212" s="472" t="s">
        <v>762</v>
      </c>
      <c r="X212" s="473" t="s">
        <v>252</v>
      </c>
      <c r="Y212" s="474">
        <v>21.5</v>
      </c>
      <c r="Z212" s="475">
        <v>6094793.54</v>
      </c>
      <c r="AA212" s="476">
        <f t="shared" si="48"/>
        <v>28347876.93023256</v>
      </c>
      <c r="AB212" s="475">
        <v>270734.9255636785</v>
      </c>
      <c r="AE212" s="489">
        <v>616</v>
      </c>
      <c r="AF212">
        <f t="shared" si="49"/>
        <v>0</v>
      </c>
      <c r="AH212" s="477">
        <v>5941.243488965261</v>
      </c>
      <c r="AI212">
        <f t="shared" si="50"/>
        <v>5941243.488965262</v>
      </c>
      <c r="AJ212" s="490">
        <v>271.146948</v>
      </c>
      <c r="AK212">
        <f t="shared" si="51"/>
        <v>271146.94800000003</v>
      </c>
    </row>
    <row r="213" spans="1:37" ht="15" customHeight="1">
      <c r="A213" s="453" t="s">
        <v>1025</v>
      </c>
      <c r="B213" s="467">
        <v>2949</v>
      </c>
      <c r="C213" s="468">
        <f t="shared" si="39"/>
        <v>7067989.635340909</v>
      </c>
      <c r="D213" s="468">
        <f t="shared" si="40"/>
        <v>470824.503920582</v>
      </c>
      <c r="E213" s="468">
        <v>0</v>
      </c>
      <c r="F213" s="468">
        <f t="shared" si="41"/>
        <v>7538814.139261491</v>
      </c>
      <c r="G213" s="469">
        <f t="shared" si="42"/>
        <v>2556.396791882499</v>
      </c>
      <c r="H213" s="460">
        <f t="shared" si="43"/>
        <v>1230.7232081175007</v>
      </c>
      <c r="I213" s="380">
        <f t="shared" si="44"/>
      </c>
      <c r="J213" s="380">
        <f t="shared" si="45"/>
      </c>
      <c r="K213" s="461">
        <f t="shared" si="46"/>
        <v>984.5785664940006</v>
      </c>
      <c r="L213" s="488">
        <f t="shared" si="47"/>
        <v>2903522.1925908076</v>
      </c>
      <c r="M213" s="488"/>
      <c r="N213" s="478">
        <v>619</v>
      </c>
      <c r="O213" s="389" t="s">
        <v>1025</v>
      </c>
      <c r="P213" s="471">
        <v>0</v>
      </c>
      <c r="Q213" s="472" t="s">
        <v>765</v>
      </c>
      <c r="X213" s="473" t="s">
        <v>253</v>
      </c>
      <c r="Y213" s="474">
        <v>22</v>
      </c>
      <c r="Z213" s="475">
        <v>7833540.15</v>
      </c>
      <c r="AA213" s="476">
        <f t="shared" si="48"/>
        <v>35607000.68181818</v>
      </c>
      <c r="AB213" s="475">
        <v>470824.503920582</v>
      </c>
      <c r="AE213" s="489">
        <v>619</v>
      </c>
      <c r="AF213">
        <f t="shared" si="49"/>
        <v>0</v>
      </c>
      <c r="AH213" s="477">
        <v>7749.054964208705</v>
      </c>
      <c r="AI213">
        <f t="shared" si="50"/>
        <v>7749054.964208705</v>
      </c>
      <c r="AJ213" s="490">
        <v>471.541036</v>
      </c>
      <c r="AK213">
        <f t="shared" si="51"/>
        <v>471541.036</v>
      </c>
    </row>
    <row r="214" spans="1:37" ht="15" customHeight="1">
      <c r="A214" s="453" t="s">
        <v>1026</v>
      </c>
      <c r="B214" s="467">
        <v>2669</v>
      </c>
      <c r="C214" s="468">
        <f t="shared" si="39"/>
        <v>5943883.335255815</v>
      </c>
      <c r="D214" s="468">
        <f t="shared" si="40"/>
        <v>1237116.6095714532</v>
      </c>
      <c r="E214" s="468">
        <v>0</v>
      </c>
      <c r="F214" s="468">
        <f t="shared" si="41"/>
        <v>7180999.944827268</v>
      </c>
      <c r="G214" s="469">
        <f t="shared" si="42"/>
        <v>2690.5207736332964</v>
      </c>
      <c r="H214" s="460">
        <f t="shared" si="43"/>
        <v>1096.5992263667035</v>
      </c>
      <c r="I214" s="380">
        <f t="shared" si="44"/>
      </c>
      <c r="J214" s="380">
        <f t="shared" si="45"/>
      </c>
      <c r="K214" s="461">
        <f t="shared" si="46"/>
        <v>877.2793810933629</v>
      </c>
      <c r="L214" s="488">
        <f t="shared" si="47"/>
        <v>2341458.6681381855</v>
      </c>
      <c r="M214" s="488"/>
      <c r="N214" s="478">
        <v>620</v>
      </c>
      <c r="O214" s="389" t="s">
        <v>1026</v>
      </c>
      <c r="P214" s="471">
        <v>0</v>
      </c>
      <c r="Q214" s="472" t="s">
        <v>808</v>
      </c>
      <c r="X214" s="473" t="s">
        <v>254</v>
      </c>
      <c r="Y214" s="474">
        <v>21.5</v>
      </c>
      <c r="Z214" s="475">
        <v>6437959.28</v>
      </c>
      <c r="AA214" s="476">
        <f t="shared" si="48"/>
        <v>29943996.651162792</v>
      </c>
      <c r="AB214" s="475">
        <v>1237116.6095714532</v>
      </c>
      <c r="AE214" s="489">
        <v>620</v>
      </c>
      <c r="AF214">
        <f t="shared" si="49"/>
        <v>0</v>
      </c>
      <c r="AH214" s="477">
        <v>6426.722729349489</v>
      </c>
      <c r="AI214">
        <f t="shared" si="50"/>
        <v>6426722.729349489</v>
      </c>
      <c r="AJ214" s="490">
        <v>1238.999336</v>
      </c>
      <c r="AK214">
        <f t="shared" si="51"/>
        <v>1238999.3360000001</v>
      </c>
    </row>
    <row r="215" spans="1:37" ht="15" customHeight="1">
      <c r="A215" s="453" t="s">
        <v>1027</v>
      </c>
      <c r="B215" s="467">
        <v>2208</v>
      </c>
      <c r="C215" s="468">
        <f t="shared" si="39"/>
        <v>5868293.75095</v>
      </c>
      <c r="D215" s="468">
        <f t="shared" si="40"/>
        <v>1448121.7758598395</v>
      </c>
      <c r="E215" s="468">
        <v>0</v>
      </c>
      <c r="F215" s="468">
        <f t="shared" si="41"/>
        <v>7316415.5268098395</v>
      </c>
      <c r="G215" s="469">
        <f t="shared" si="42"/>
        <v>3313.5939885914127</v>
      </c>
      <c r="H215" s="460">
        <f t="shared" si="43"/>
        <v>473.52601140858724</v>
      </c>
      <c r="I215" s="380">
        <f t="shared" si="44"/>
      </c>
      <c r="J215" s="380">
        <f t="shared" si="45"/>
      </c>
      <c r="K215" s="461">
        <f t="shared" si="46"/>
        <v>378.8208091268698</v>
      </c>
      <c r="L215" s="488">
        <f t="shared" si="47"/>
        <v>836436.3465521284</v>
      </c>
      <c r="M215" s="488"/>
      <c r="N215" s="478">
        <v>623</v>
      </c>
      <c r="O215" s="389" t="s">
        <v>1027</v>
      </c>
      <c r="P215" s="471">
        <v>0</v>
      </c>
      <c r="Q215" s="472" t="s">
        <v>767</v>
      </c>
      <c r="X215" s="473" t="s">
        <v>255</v>
      </c>
      <c r="Y215" s="474">
        <v>20</v>
      </c>
      <c r="Z215" s="475">
        <v>5912638.54</v>
      </c>
      <c r="AA215" s="476">
        <f t="shared" si="48"/>
        <v>29563192.7</v>
      </c>
      <c r="AB215" s="475">
        <v>1448121.7758598395</v>
      </c>
      <c r="AE215" s="489">
        <v>623</v>
      </c>
      <c r="AF215">
        <f t="shared" si="49"/>
        <v>0</v>
      </c>
      <c r="AH215" s="477">
        <v>5943.771259982684</v>
      </c>
      <c r="AI215">
        <f t="shared" si="50"/>
        <v>5943771.259982684</v>
      </c>
      <c r="AJ215" s="490">
        <v>1450.325624</v>
      </c>
      <c r="AK215">
        <f t="shared" si="51"/>
        <v>1450325.624</v>
      </c>
    </row>
    <row r="216" spans="1:37" ht="15" customHeight="1">
      <c r="A216" s="453" t="s">
        <v>256</v>
      </c>
      <c r="B216" s="467">
        <v>5264</v>
      </c>
      <c r="C216" s="468">
        <f t="shared" si="39"/>
        <v>17584107.737481486</v>
      </c>
      <c r="D216" s="468">
        <f t="shared" si="40"/>
        <v>797547.4791423857</v>
      </c>
      <c r="E216" s="468">
        <v>0</v>
      </c>
      <c r="F216" s="468">
        <f t="shared" si="41"/>
        <v>18381655.216623873</v>
      </c>
      <c r="G216" s="469">
        <f t="shared" si="42"/>
        <v>3491.9557782340185</v>
      </c>
      <c r="H216" s="460">
        <f t="shared" si="43"/>
        <v>295.16422176598144</v>
      </c>
      <c r="I216" s="380">
        <f t="shared" si="44"/>
      </c>
      <c r="J216" s="380">
        <f t="shared" si="45"/>
      </c>
      <c r="K216" s="461">
        <f t="shared" si="46"/>
        <v>236.13137741278516</v>
      </c>
      <c r="L216" s="488">
        <f t="shared" si="47"/>
        <v>1242995.570700901</v>
      </c>
      <c r="M216" s="488"/>
      <c r="N216" s="478">
        <v>624</v>
      </c>
      <c r="O216" s="479" t="s">
        <v>1028</v>
      </c>
      <c r="P216" s="471">
        <v>1</v>
      </c>
      <c r="Q216" s="472" t="s">
        <v>788</v>
      </c>
      <c r="X216" s="473" t="s">
        <v>256</v>
      </c>
      <c r="Y216" s="474">
        <v>20.25</v>
      </c>
      <c r="Z216" s="475">
        <v>17938447.44</v>
      </c>
      <c r="AA216" s="476">
        <f t="shared" si="48"/>
        <v>88584925.62962964</v>
      </c>
      <c r="AB216" s="475">
        <v>797547.4791423857</v>
      </c>
      <c r="AE216" s="489">
        <v>624</v>
      </c>
      <c r="AF216">
        <f t="shared" si="49"/>
        <v>0</v>
      </c>
      <c r="AH216" s="477">
        <v>18130.676761319744</v>
      </c>
      <c r="AI216">
        <f t="shared" si="50"/>
        <v>18130676.761319745</v>
      </c>
      <c r="AJ216" s="490">
        <v>798.7612399999999</v>
      </c>
      <c r="AK216">
        <f t="shared" si="51"/>
        <v>798761.2399999999</v>
      </c>
    </row>
    <row r="217" spans="1:37" ht="15" customHeight="1">
      <c r="A217" s="453" t="s">
        <v>1029</v>
      </c>
      <c r="B217" s="467">
        <v>3189</v>
      </c>
      <c r="C217" s="468">
        <f t="shared" si="39"/>
        <v>8784499.458666667</v>
      </c>
      <c r="D217" s="468">
        <f t="shared" si="40"/>
        <v>586298.8473759745</v>
      </c>
      <c r="E217" s="468">
        <v>0</v>
      </c>
      <c r="F217" s="468">
        <f t="shared" si="41"/>
        <v>9370798.306042641</v>
      </c>
      <c r="G217" s="469">
        <f t="shared" si="42"/>
        <v>2938.475480101173</v>
      </c>
      <c r="H217" s="460">
        <f t="shared" si="43"/>
        <v>848.6445198988267</v>
      </c>
      <c r="I217" s="380">
        <f t="shared" si="44"/>
      </c>
      <c r="J217" s="380">
        <f t="shared" si="45"/>
      </c>
      <c r="K217" s="461">
        <f t="shared" si="46"/>
        <v>678.9156159190615</v>
      </c>
      <c r="L217" s="488">
        <f t="shared" si="47"/>
        <v>2165061.899165887</v>
      </c>
      <c r="M217" s="488"/>
      <c r="N217" s="478">
        <v>625</v>
      </c>
      <c r="O217" s="389" t="s">
        <v>1029</v>
      </c>
      <c r="P217" s="471">
        <v>0</v>
      </c>
      <c r="Q217" s="472" t="s">
        <v>757</v>
      </c>
      <c r="X217" s="473" t="s">
        <v>257</v>
      </c>
      <c r="Y217" s="474">
        <v>20.25</v>
      </c>
      <c r="Z217" s="475">
        <v>8961517.08</v>
      </c>
      <c r="AA217" s="476">
        <f t="shared" si="48"/>
        <v>44254405.333333336</v>
      </c>
      <c r="AB217" s="475">
        <v>586298.8473759745</v>
      </c>
      <c r="AE217" s="489">
        <v>625</v>
      </c>
      <c r="AF217">
        <f t="shared" si="49"/>
        <v>0</v>
      </c>
      <c r="AH217" s="477">
        <v>9045.311397298108</v>
      </c>
      <c r="AI217">
        <f t="shared" si="50"/>
        <v>9045311.397298109</v>
      </c>
      <c r="AJ217" s="490">
        <v>587.191116</v>
      </c>
      <c r="AK217">
        <f t="shared" si="51"/>
        <v>587191.1159999999</v>
      </c>
    </row>
    <row r="218" spans="1:37" ht="15" customHeight="1">
      <c r="A218" s="453" t="s">
        <v>258</v>
      </c>
      <c r="B218" s="467">
        <v>5337</v>
      </c>
      <c r="C218" s="468">
        <f t="shared" si="39"/>
        <v>13794900.917445784</v>
      </c>
      <c r="D218" s="468">
        <f t="shared" si="40"/>
        <v>4828099.696408094</v>
      </c>
      <c r="E218" s="468">
        <v>0</v>
      </c>
      <c r="F218" s="468">
        <f t="shared" si="41"/>
        <v>18623000.61385388</v>
      </c>
      <c r="G218" s="469">
        <f t="shared" si="42"/>
        <v>3489.4136432178902</v>
      </c>
      <c r="H218" s="460">
        <f t="shared" si="43"/>
        <v>297.70635678210965</v>
      </c>
      <c r="I218" s="380">
        <f t="shared" si="44"/>
      </c>
      <c r="J218" s="380">
        <f t="shared" si="45"/>
      </c>
      <c r="K218" s="461">
        <f t="shared" si="46"/>
        <v>238.16508542568772</v>
      </c>
      <c r="L218" s="488">
        <f t="shared" si="47"/>
        <v>1271087.0609168953</v>
      </c>
      <c r="M218" s="488"/>
      <c r="N218" s="478">
        <v>626</v>
      </c>
      <c r="O218" s="389" t="s">
        <v>258</v>
      </c>
      <c r="P218" s="471">
        <v>0</v>
      </c>
      <c r="Q218" s="472" t="s">
        <v>757</v>
      </c>
      <c r="X218" s="473" t="s">
        <v>258</v>
      </c>
      <c r="Y218" s="474">
        <v>20.75</v>
      </c>
      <c r="Z218" s="475">
        <v>14420362.42</v>
      </c>
      <c r="AA218" s="476">
        <f t="shared" si="48"/>
        <v>69495722.50602409</v>
      </c>
      <c r="AB218" s="475">
        <v>4828099.696408094</v>
      </c>
      <c r="AE218" s="489">
        <v>626</v>
      </c>
      <c r="AF218">
        <f t="shared" si="49"/>
        <v>0</v>
      </c>
      <c r="AH218" s="477">
        <v>14437.041626423712</v>
      </c>
      <c r="AI218">
        <f t="shared" si="50"/>
        <v>14437041.626423713</v>
      </c>
      <c r="AJ218" s="490">
        <v>4835.4474199999995</v>
      </c>
      <c r="AK218">
        <f t="shared" si="51"/>
        <v>4835447.42</v>
      </c>
    </row>
    <row r="219" spans="1:37" ht="15" customHeight="1">
      <c r="A219" s="453" t="s">
        <v>1030</v>
      </c>
      <c r="B219" s="467">
        <v>1579</v>
      </c>
      <c r="C219" s="468">
        <f t="shared" si="39"/>
        <v>3699158.8710632916</v>
      </c>
      <c r="D219" s="468">
        <f t="shared" si="40"/>
        <v>632616.9813556403</v>
      </c>
      <c r="E219" s="468">
        <v>0</v>
      </c>
      <c r="F219" s="468">
        <f t="shared" si="41"/>
        <v>4331775.852418932</v>
      </c>
      <c r="G219" s="469">
        <f t="shared" si="42"/>
        <v>2743.36659431218</v>
      </c>
      <c r="H219" s="460">
        <f t="shared" si="43"/>
        <v>1043.7534056878198</v>
      </c>
      <c r="I219" s="380">
        <f t="shared" si="44"/>
      </c>
      <c r="J219" s="380">
        <f t="shared" si="45"/>
      </c>
      <c r="K219" s="461">
        <f t="shared" si="46"/>
        <v>835.002724550256</v>
      </c>
      <c r="L219" s="488">
        <f t="shared" si="47"/>
        <v>1318469.3020648542</v>
      </c>
      <c r="M219" s="488"/>
      <c r="N219" s="478">
        <v>630</v>
      </c>
      <c r="O219" s="389" t="s">
        <v>1030</v>
      </c>
      <c r="P219" s="471">
        <v>0</v>
      </c>
      <c r="Q219" s="472" t="s">
        <v>757</v>
      </c>
      <c r="X219" s="473" t="s">
        <v>259</v>
      </c>
      <c r="Y219" s="474">
        <v>19.75</v>
      </c>
      <c r="Z219" s="475">
        <v>3680523.31</v>
      </c>
      <c r="AA219" s="476">
        <f t="shared" si="48"/>
        <v>18635561.06329114</v>
      </c>
      <c r="AB219" s="475">
        <v>632616.9813556403</v>
      </c>
      <c r="AE219" s="489">
        <v>630</v>
      </c>
      <c r="AF219">
        <f t="shared" si="49"/>
        <v>0</v>
      </c>
      <c r="AH219" s="477">
        <v>3671.3376573619644</v>
      </c>
      <c r="AI219">
        <f t="shared" si="50"/>
        <v>3671337.657361964</v>
      </c>
      <c r="AJ219" s="490">
        <v>633.57974</v>
      </c>
      <c r="AK219">
        <f t="shared" si="51"/>
        <v>633579.74</v>
      </c>
    </row>
    <row r="220" spans="1:37" ht="15" customHeight="1">
      <c r="A220" s="453" t="s">
        <v>1031</v>
      </c>
      <c r="B220" s="467">
        <v>2077</v>
      </c>
      <c r="C220" s="468">
        <f t="shared" si="39"/>
        <v>6578296.75356322</v>
      </c>
      <c r="D220" s="468">
        <f t="shared" si="40"/>
        <v>311064.597184098</v>
      </c>
      <c r="E220" s="468">
        <v>0</v>
      </c>
      <c r="F220" s="468">
        <f t="shared" si="41"/>
        <v>6889361.350747318</v>
      </c>
      <c r="G220" s="469">
        <f t="shared" si="42"/>
        <v>3316.977058616908</v>
      </c>
      <c r="H220" s="460">
        <f t="shared" si="43"/>
        <v>470.14294138309197</v>
      </c>
      <c r="I220" s="380">
        <f t="shared" si="44"/>
      </c>
      <c r="J220" s="380">
        <f t="shared" si="45"/>
      </c>
      <c r="K220" s="461">
        <f t="shared" si="46"/>
        <v>376.1143531064736</v>
      </c>
      <c r="L220" s="488">
        <f t="shared" si="47"/>
        <v>781189.5114021456</v>
      </c>
      <c r="M220" s="488"/>
      <c r="N220" s="478">
        <v>631</v>
      </c>
      <c r="O220" s="389" t="s">
        <v>1031</v>
      </c>
      <c r="P220" s="471">
        <v>0</v>
      </c>
      <c r="Q220" s="472" t="s">
        <v>764</v>
      </c>
      <c r="X220" s="473" t="s">
        <v>260</v>
      </c>
      <c r="Y220" s="474">
        <v>21.75</v>
      </c>
      <c r="Z220" s="475">
        <v>7207957.4</v>
      </c>
      <c r="AA220" s="476">
        <f t="shared" si="48"/>
        <v>33140034.022988506</v>
      </c>
      <c r="AB220" s="475">
        <v>311064.597184098</v>
      </c>
      <c r="AE220" s="489">
        <v>631</v>
      </c>
      <c r="AF220">
        <f t="shared" si="49"/>
        <v>0</v>
      </c>
      <c r="AH220" s="477">
        <v>7241.156246353083</v>
      </c>
      <c r="AI220">
        <f t="shared" si="50"/>
        <v>7241156.246353082</v>
      </c>
      <c r="AJ220" s="490">
        <v>311.53799599999996</v>
      </c>
      <c r="AK220">
        <f t="shared" si="51"/>
        <v>311537.996</v>
      </c>
    </row>
    <row r="221" spans="1:37" ht="15" customHeight="1">
      <c r="A221" s="453" t="s">
        <v>1032</v>
      </c>
      <c r="B221" s="467">
        <v>6567</v>
      </c>
      <c r="C221" s="468">
        <f t="shared" si="39"/>
        <v>18258582.40659524</v>
      </c>
      <c r="D221" s="468">
        <f t="shared" si="40"/>
        <v>1201882.4432717576</v>
      </c>
      <c r="E221" s="468">
        <v>0</v>
      </c>
      <c r="F221" s="468">
        <f t="shared" si="41"/>
        <v>19460464.849866997</v>
      </c>
      <c r="G221" s="469">
        <f t="shared" si="42"/>
        <v>2963.3721409878176</v>
      </c>
      <c r="H221" s="460">
        <f t="shared" si="43"/>
        <v>823.7478590121823</v>
      </c>
      <c r="I221" s="380">
        <f t="shared" si="44"/>
      </c>
      <c r="J221" s="380">
        <f t="shared" si="45"/>
      </c>
      <c r="K221" s="461">
        <f t="shared" si="46"/>
        <v>658.9982872097459</v>
      </c>
      <c r="L221" s="488">
        <f t="shared" si="47"/>
        <v>4327641.752106401</v>
      </c>
      <c r="M221" s="488"/>
      <c r="N221" s="478">
        <v>635</v>
      </c>
      <c r="O221" s="389" t="s">
        <v>1032</v>
      </c>
      <c r="P221" s="471">
        <v>0</v>
      </c>
      <c r="Q221" s="472" t="s">
        <v>765</v>
      </c>
      <c r="X221" s="473" t="s">
        <v>261</v>
      </c>
      <c r="Y221" s="474">
        <v>21</v>
      </c>
      <c r="Z221" s="475">
        <v>19316384.41</v>
      </c>
      <c r="AA221" s="476">
        <f t="shared" si="48"/>
        <v>91982782.90476191</v>
      </c>
      <c r="AB221" s="475">
        <v>1201882.4432717576</v>
      </c>
      <c r="AE221" s="489">
        <v>635</v>
      </c>
      <c r="AF221">
        <f t="shared" si="49"/>
        <v>0</v>
      </c>
      <c r="AH221" s="477">
        <v>19227.10332581389</v>
      </c>
      <c r="AI221">
        <f t="shared" si="50"/>
        <v>19227103.32581389</v>
      </c>
      <c r="AJ221" s="490">
        <v>1203.711548</v>
      </c>
      <c r="AK221">
        <f t="shared" si="51"/>
        <v>1203711.548</v>
      </c>
    </row>
    <row r="222" spans="1:37" ht="15" customHeight="1">
      <c r="A222" s="466" t="s">
        <v>1033</v>
      </c>
      <c r="B222" s="467">
        <v>8422</v>
      </c>
      <c r="C222" s="468">
        <f t="shared" si="39"/>
        <v>22454505.34762353</v>
      </c>
      <c r="D222" s="468">
        <f t="shared" si="40"/>
        <v>1668429.876323572</v>
      </c>
      <c r="E222" s="468">
        <v>0</v>
      </c>
      <c r="F222" s="468">
        <f t="shared" si="41"/>
        <v>24122935.223947104</v>
      </c>
      <c r="G222" s="469">
        <f t="shared" si="42"/>
        <v>2864.2763267569585</v>
      </c>
      <c r="H222" s="460">
        <f t="shared" si="43"/>
        <v>922.8436732430414</v>
      </c>
      <c r="I222" s="380">
        <f t="shared" si="44"/>
      </c>
      <c r="J222" s="380">
        <f t="shared" si="45"/>
      </c>
      <c r="K222" s="461">
        <f t="shared" si="46"/>
        <v>738.2749385944331</v>
      </c>
      <c r="L222" s="488">
        <f t="shared" si="47"/>
        <v>6217751.532842316</v>
      </c>
      <c r="M222" s="488"/>
      <c r="N222" s="470">
        <v>636</v>
      </c>
      <c r="O222" s="389" t="s">
        <v>1033</v>
      </c>
      <c r="P222" s="471">
        <v>0</v>
      </c>
      <c r="Q222" s="472" t="s">
        <v>764</v>
      </c>
      <c r="X222" s="473" t="s">
        <v>262</v>
      </c>
      <c r="Y222" s="474">
        <v>21.25</v>
      </c>
      <c r="Z222" s="475">
        <v>24038198.42</v>
      </c>
      <c r="AA222" s="476">
        <f t="shared" si="48"/>
        <v>113120933.74117647</v>
      </c>
      <c r="AB222" s="475">
        <v>1668429.876323572</v>
      </c>
      <c r="AE222" s="489">
        <v>636</v>
      </c>
      <c r="AF222">
        <f t="shared" si="49"/>
        <v>0</v>
      </c>
      <c r="AH222" s="477">
        <v>23706.778953633795</v>
      </c>
      <c r="AI222">
        <f t="shared" si="50"/>
        <v>23706778.953633796</v>
      </c>
      <c r="AJ222" s="490">
        <v>1670.969004</v>
      </c>
      <c r="AK222">
        <f t="shared" si="51"/>
        <v>1670969.004</v>
      </c>
    </row>
    <row r="223" spans="1:37" ht="15" customHeight="1">
      <c r="A223" s="453" t="s">
        <v>1034</v>
      </c>
      <c r="B223" s="467">
        <v>50159</v>
      </c>
      <c r="C223" s="468">
        <f t="shared" si="39"/>
        <v>193272236.8316203</v>
      </c>
      <c r="D223" s="468">
        <f t="shared" si="40"/>
        <v>22060655.12214972</v>
      </c>
      <c r="E223" s="468">
        <v>0</v>
      </c>
      <c r="F223" s="468">
        <f t="shared" si="41"/>
        <v>215332891.95377004</v>
      </c>
      <c r="G223" s="469">
        <f t="shared" si="42"/>
        <v>4293.006079741822</v>
      </c>
      <c r="H223" s="460">
        <f t="shared" si="43"/>
        <v>-505.88607974182196</v>
      </c>
      <c r="I223" s="380">
        <f t="shared" si="44"/>
        <v>6.226311505089756</v>
      </c>
      <c r="J223" s="380">
        <f t="shared" si="45"/>
        <v>36.226311505089754</v>
      </c>
      <c r="K223" s="461">
        <f t="shared" si="46"/>
        <v>-183.26386710815916</v>
      </c>
      <c r="L223" s="488">
        <f t="shared" si="47"/>
        <v>-9192332.310278155</v>
      </c>
      <c r="M223" s="488"/>
      <c r="N223" s="478">
        <v>638</v>
      </c>
      <c r="O223" s="479" t="s">
        <v>1035</v>
      </c>
      <c r="P223" s="471">
        <v>1</v>
      </c>
      <c r="Q223" s="472" t="s">
        <v>762</v>
      </c>
      <c r="X223" s="473" t="s">
        <v>249</v>
      </c>
      <c r="Y223" s="474">
        <v>19.75</v>
      </c>
      <c r="Z223" s="475">
        <v>192298573.17</v>
      </c>
      <c r="AA223" s="476">
        <f t="shared" si="48"/>
        <v>973663661.6202532</v>
      </c>
      <c r="AB223" s="475">
        <v>22060655.12214972</v>
      </c>
      <c r="AE223" s="489">
        <v>638</v>
      </c>
      <c r="AF223">
        <f t="shared" si="49"/>
        <v>0</v>
      </c>
      <c r="AH223" s="477">
        <v>192440.83007380276</v>
      </c>
      <c r="AI223">
        <f t="shared" si="50"/>
        <v>192440830.07380277</v>
      </c>
      <c r="AJ223" s="490">
        <v>22094.228496</v>
      </c>
      <c r="AK223">
        <f t="shared" si="51"/>
        <v>22094228.496</v>
      </c>
    </row>
    <row r="224" spans="1:37" ht="15" customHeight="1">
      <c r="A224" s="453" t="s">
        <v>1036</v>
      </c>
      <c r="B224" s="467">
        <v>25001</v>
      </c>
      <c r="C224" s="468">
        <f t="shared" si="39"/>
        <v>77239625.04204762</v>
      </c>
      <c r="D224" s="468">
        <f t="shared" si="40"/>
        <v>3318866.959278124</v>
      </c>
      <c r="E224" s="468">
        <v>0</v>
      </c>
      <c r="F224" s="468">
        <f t="shared" si="41"/>
        <v>80558492.00132574</v>
      </c>
      <c r="G224" s="469">
        <f t="shared" si="42"/>
        <v>3222.210791621365</v>
      </c>
      <c r="H224" s="460">
        <f t="shared" si="43"/>
        <v>564.909208378635</v>
      </c>
      <c r="I224" s="380">
        <f t="shared" si="44"/>
      </c>
      <c r="J224" s="380">
        <f t="shared" si="45"/>
      </c>
      <c r="K224" s="461">
        <f t="shared" si="46"/>
        <v>451.927366702908</v>
      </c>
      <c r="L224" s="488">
        <f t="shared" si="47"/>
        <v>11298636.094939403</v>
      </c>
      <c r="M224" s="488"/>
      <c r="N224" s="478">
        <v>678</v>
      </c>
      <c r="O224" s="479" t="s">
        <v>1037</v>
      </c>
      <c r="P224" s="471">
        <v>0</v>
      </c>
      <c r="Q224" s="472" t="s">
        <v>757</v>
      </c>
      <c r="X224" s="473" t="s">
        <v>263</v>
      </c>
      <c r="Y224" s="474">
        <v>21</v>
      </c>
      <c r="Z224" s="475">
        <v>81714464.78</v>
      </c>
      <c r="AA224" s="476">
        <f t="shared" si="48"/>
        <v>389116498.95238096</v>
      </c>
      <c r="AB224" s="475">
        <v>3318866.959278124</v>
      </c>
      <c r="AE224" s="489">
        <v>678</v>
      </c>
      <c r="AF224">
        <f t="shared" si="49"/>
        <v>0</v>
      </c>
      <c r="AH224" s="477">
        <v>82033.57580163743</v>
      </c>
      <c r="AI224">
        <f t="shared" si="50"/>
        <v>82033575.80163743</v>
      </c>
      <c r="AJ224" s="490">
        <v>3323.917832</v>
      </c>
      <c r="AK224">
        <f t="shared" si="51"/>
        <v>3323917.832</v>
      </c>
    </row>
    <row r="225" spans="1:37" ht="15" customHeight="1">
      <c r="A225" s="453" t="s">
        <v>1038</v>
      </c>
      <c r="B225" s="467">
        <v>24234</v>
      </c>
      <c r="C225" s="468">
        <f t="shared" si="39"/>
        <v>86061586.16805065</v>
      </c>
      <c r="D225" s="468">
        <f t="shared" si="40"/>
        <v>5687712.851871677</v>
      </c>
      <c r="E225" s="468">
        <v>0</v>
      </c>
      <c r="F225" s="468">
        <f t="shared" si="41"/>
        <v>91749299.01992232</v>
      </c>
      <c r="G225" s="469">
        <f t="shared" si="42"/>
        <v>3785.9742106099825</v>
      </c>
      <c r="H225" s="460">
        <f t="shared" si="43"/>
        <v>1.1457893900173985</v>
      </c>
      <c r="I225" s="380">
        <f t="shared" si="44"/>
      </c>
      <c r="J225" s="380">
        <f t="shared" si="45"/>
      </c>
      <c r="K225" s="461">
        <f t="shared" si="46"/>
        <v>0.9166315120139189</v>
      </c>
      <c r="L225" s="488">
        <f t="shared" si="47"/>
        <v>22213.648062145312</v>
      </c>
      <c r="M225" s="488"/>
      <c r="N225" s="478">
        <v>680</v>
      </c>
      <c r="O225" s="479" t="s">
        <v>1039</v>
      </c>
      <c r="P225" s="471">
        <v>0</v>
      </c>
      <c r="Q225" s="472" t="s">
        <v>764</v>
      </c>
      <c r="X225" s="473" t="s">
        <v>265</v>
      </c>
      <c r="Y225" s="474">
        <v>19.75</v>
      </c>
      <c r="Z225" s="475">
        <v>85628026.54</v>
      </c>
      <c r="AA225" s="476">
        <f t="shared" si="48"/>
        <v>433559628.05063295</v>
      </c>
      <c r="AB225" s="475">
        <v>5687712.851871677</v>
      </c>
      <c r="AD225" s="1"/>
      <c r="AE225" s="489">
        <v>680</v>
      </c>
      <c r="AF225">
        <f t="shared" si="49"/>
        <v>0</v>
      </c>
      <c r="AG225" s="1"/>
      <c r="AH225" s="477">
        <v>86071.2353609159</v>
      </c>
      <c r="AI225">
        <f t="shared" si="50"/>
        <v>86071235.3609159</v>
      </c>
      <c r="AJ225" s="490">
        <v>5696.368792</v>
      </c>
      <c r="AK225">
        <f t="shared" si="51"/>
        <v>5696368.792</v>
      </c>
    </row>
    <row r="226" spans="1:37" ht="15" customHeight="1">
      <c r="A226" s="453" t="s">
        <v>1040</v>
      </c>
      <c r="B226" s="467">
        <v>3553</v>
      </c>
      <c r="C226" s="468">
        <f t="shared" si="39"/>
        <v>8372788.812714287</v>
      </c>
      <c r="D226" s="468">
        <f t="shared" si="40"/>
        <v>1061932.216844772</v>
      </c>
      <c r="E226" s="468">
        <v>0</v>
      </c>
      <c r="F226" s="468">
        <f t="shared" si="41"/>
        <v>9434721.029559059</v>
      </c>
      <c r="G226" s="469">
        <f t="shared" si="42"/>
        <v>2655.423875473982</v>
      </c>
      <c r="H226" s="460">
        <f t="shared" si="43"/>
        <v>1131.6961245260177</v>
      </c>
      <c r="I226" s="380">
        <f t="shared" si="44"/>
      </c>
      <c r="J226" s="380">
        <f t="shared" si="45"/>
      </c>
      <c r="K226" s="461">
        <f t="shared" si="46"/>
        <v>905.3568996208141</v>
      </c>
      <c r="L226" s="488">
        <f t="shared" si="47"/>
        <v>3216733.0643527526</v>
      </c>
      <c r="M226" s="488"/>
      <c r="N226" s="478">
        <v>681</v>
      </c>
      <c r="O226" s="389" t="s">
        <v>1040</v>
      </c>
      <c r="P226" s="471">
        <v>0</v>
      </c>
      <c r="Q226" s="472" t="s">
        <v>767</v>
      </c>
      <c r="X226" s="473" t="s">
        <v>266</v>
      </c>
      <c r="Y226" s="474">
        <v>21</v>
      </c>
      <c r="Z226" s="475">
        <v>8857862.22</v>
      </c>
      <c r="AA226" s="476">
        <f t="shared" si="48"/>
        <v>42180296.28571429</v>
      </c>
      <c r="AB226" s="475">
        <v>1061932.216844772</v>
      </c>
      <c r="AE226" s="489">
        <v>681</v>
      </c>
      <c r="AF226">
        <f t="shared" si="49"/>
        <v>0</v>
      </c>
      <c r="AH226" s="477">
        <v>8774.97702242473</v>
      </c>
      <c r="AI226">
        <f t="shared" si="50"/>
        <v>8774977.02242473</v>
      </c>
      <c r="AJ226" s="490">
        <v>1063.548336</v>
      </c>
      <c r="AK226">
        <f t="shared" si="51"/>
        <v>1063548.3360000001</v>
      </c>
    </row>
    <row r="227" spans="1:37" s="1" customFormat="1" ht="15" customHeight="1">
      <c r="A227" s="453" t="s">
        <v>1041</v>
      </c>
      <c r="B227" s="467">
        <v>3972</v>
      </c>
      <c r="C227" s="468">
        <f t="shared" si="39"/>
        <v>8239352.332202532</v>
      </c>
      <c r="D227" s="468">
        <f t="shared" si="40"/>
        <v>600370.8516628812</v>
      </c>
      <c r="E227" s="468">
        <v>0</v>
      </c>
      <c r="F227" s="468">
        <f t="shared" si="41"/>
        <v>8839723.183865413</v>
      </c>
      <c r="G227" s="469">
        <f t="shared" si="42"/>
        <v>2225.509361496831</v>
      </c>
      <c r="H227" s="460">
        <f t="shared" si="43"/>
        <v>1561.610638503169</v>
      </c>
      <c r="I227" s="380">
        <f t="shared" si="44"/>
      </c>
      <c r="J227" s="380">
        <f t="shared" si="45"/>
      </c>
      <c r="K227" s="461">
        <f t="shared" si="46"/>
        <v>1249.2885108025353</v>
      </c>
      <c r="L227" s="488">
        <f t="shared" si="47"/>
        <v>4962173.96490767</v>
      </c>
      <c r="M227" s="488"/>
      <c r="N227" s="478">
        <v>683</v>
      </c>
      <c r="O227" s="389" t="s">
        <v>1041</v>
      </c>
      <c r="P227" s="471">
        <v>0</v>
      </c>
      <c r="Q227" s="472" t="s">
        <v>770</v>
      </c>
      <c r="R227"/>
      <c r="V227"/>
      <c r="W227"/>
      <c r="X227" s="473" t="s">
        <v>267</v>
      </c>
      <c r="Y227" s="474">
        <v>19.75</v>
      </c>
      <c r="Z227" s="475">
        <v>8197844.26</v>
      </c>
      <c r="AA227" s="476">
        <f t="shared" si="48"/>
        <v>41508072.20253164</v>
      </c>
      <c r="AB227" s="475">
        <v>600370.8516628812</v>
      </c>
      <c r="AD227"/>
      <c r="AE227" s="489">
        <v>683</v>
      </c>
      <c r="AF227">
        <f t="shared" si="49"/>
        <v>0</v>
      </c>
      <c r="AG227"/>
      <c r="AH227" s="477">
        <v>8182.342648149972</v>
      </c>
      <c r="AI227">
        <f t="shared" si="50"/>
        <v>8182342.648149972</v>
      </c>
      <c r="AJ227" s="490">
        <v>601.284536</v>
      </c>
      <c r="AK227">
        <f t="shared" si="51"/>
        <v>601284.536</v>
      </c>
    </row>
    <row r="228" spans="1:37" ht="15" customHeight="1">
      <c r="A228" s="453" t="s">
        <v>1042</v>
      </c>
      <c r="B228" s="467">
        <v>39620</v>
      </c>
      <c r="C228" s="468">
        <f t="shared" si="39"/>
        <v>146485005.88889998</v>
      </c>
      <c r="D228" s="468">
        <f t="shared" si="40"/>
        <v>16601211.522930292</v>
      </c>
      <c r="E228" s="468">
        <v>0</v>
      </c>
      <c r="F228" s="468">
        <f t="shared" si="41"/>
        <v>163086217.41183028</v>
      </c>
      <c r="G228" s="469">
        <f t="shared" si="42"/>
        <v>4116.259904387438</v>
      </c>
      <c r="H228" s="460">
        <f t="shared" si="43"/>
        <v>-329.13990438743804</v>
      </c>
      <c r="I228" s="380">
        <f t="shared" si="44"/>
        <v>5.796482901675119</v>
      </c>
      <c r="J228" s="380">
        <f t="shared" si="45"/>
        <v>35.79648290167512</v>
      </c>
      <c r="K228" s="461">
        <f t="shared" si="46"/>
        <v>-117.8205095966391</v>
      </c>
      <c r="L228" s="488">
        <f t="shared" si="47"/>
        <v>-4668048.590218841</v>
      </c>
      <c r="M228" s="488"/>
      <c r="N228" s="478">
        <v>684</v>
      </c>
      <c r="O228" s="479" t="s">
        <v>1043</v>
      </c>
      <c r="P228" s="471">
        <v>0</v>
      </c>
      <c r="Q228" s="472" t="s">
        <v>774</v>
      </c>
      <c r="X228" s="473" t="s">
        <v>268</v>
      </c>
      <c r="Y228" s="474">
        <v>20</v>
      </c>
      <c r="Z228" s="475">
        <v>147591945.48</v>
      </c>
      <c r="AA228" s="476">
        <f t="shared" si="48"/>
        <v>737959727.3999999</v>
      </c>
      <c r="AB228" s="475">
        <v>16601211.522930292</v>
      </c>
      <c r="AD228" s="1"/>
      <c r="AE228" s="489">
        <v>684</v>
      </c>
      <c r="AF228">
        <f t="shared" si="49"/>
        <v>0</v>
      </c>
      <c r="AG228" s="1"/>
      <c r="AH228" s="477">
        <v>147701.68383789394</v>
      </c>
      <c r="AI228">
        <f t="shared" si="50"/>
        <v>147701683.83789393</v>
      </c>
      <c r="AJ228" s="490">
        <v>16626.476352</v>
      </c>
      <c r="AK228">
        <f t="shared" si="51"/>
        <v>16626476.352000002</v>
      </c>
    </row>
    <row r="229" spans="1:37" ht="15" customHeight="1">
      <c r="A229" s="453" t="s">
        <v>1044</v>
      </c>
      <c r="B229" s="467">
        <v>3255</v>
      </c>
      <c r="C229" s="468">
        <f t="shared" si="39"/>
        <v>7793174.0613636365</v>
      </c>
      <c r="D229" s="468">
        <f t="shared" si="40"/>
        <v>730084.8282963724</v>
      </c>
      <c r="E229" s="468">
        <v>0</v>
      </c>
      <c r="F229" s="468">
        <f t="shared" si="41"/>
        <v>8523258.889660008</v>
      </c>
      <c r="G229" s="469">
        <f t="shared" si="42"/>
        <v>2618.5127157173606</v>
      </c>
      <c r="H229" s="460">
        <f t="shared" si="43"/>
        <v>1168.6072842826393</v>
      </c>
      <c r="I229" s="380">
        <f t="shared" si="44"/>
      </c>
      <c r="J229" s="380">
        <f t="shared" si="45"/>
      </c>
      <c r="K229" s="461">
        <f t="shared" si="46"/>
        <v>934.8858274261115</v>
      </c>
      <c r="L229" s="488">
        <f t="shared" si="47"/>
        <v>3043053.368271993</v>
      </c>
      <c r="M229" s="488"/>
      <c r="N229" s="478">
        <v>686</v>
      </c>
      <c r="O229" s="389" t="s">
        <v>1044</v>
      </c>
      <c r="P229" s="471">
        <v>0</v>
      </c>
      <c r="Q229" s="472" t="s">
        <v>819</v>
      </c>
      <c r="X229" s="473" t="s">
        <v>269</v>
      </c>
      <c r="Y229" s="474">
        <v>22</v>
      </c>
      <c r="Z229" s="475">
        <v>8637271</v>
      </c>
      <c r="AA229" s="476">
        <f t="shared" si="48"/>
        <v>39260322.72727273</v>
      </c>
      <c r="AB229" s="475">
        <v>730084.8282963724</v>
      </c>
      <c r="AE229" s="489">
        <v>686</v>
      </c>
      <c r="AF229">
        <f t="shared" si="49"/>
        <v>0</v>
      </c>
      <c r="AH229" s="477">
        <v>8631.867297284083</v>
      </c>
      <c r="AI229">
        <f t="shared" si="50"/>
        <v>8631867.297284083</v>
      </c>
      <c r="AJ229" s="490">
        <v>731.19592</v>
      </c>
      <c r="AK229">
        <f t="shared" si="51"/>
        <v>731195.92</v>
      </c>
    </row>
    <row r="230" spans="1:37" s="1" customFormat="1" ht="15" customHeight="1">
      <c r="A230" s="453" t="s">
        <v>1045</v>
      </c>
      <c r="B230" s="467">
        <v>1698</v>
      </c>
      <c r="C230" s="468">
        <f t="shared" si="39"/>
        <v>3445543.907909091</v>
      </c>
      <c r="D230" s="468">
        <f t="shared" si="40"/>
        <v>1377233.5263180113</v>
      </c>
      <c r="E230" s="468">
        <v>0</v>
      </c>
      <c r="F230" s="468">
        <f t="shared" si="41"/>
        <v>4822777.434227102</v>
      </c>
      <c r="G230" s="469">
        <f t="shared" si="42"/>
        <v>2840.269395893464</v>
      </c>
      <c r="H230" s="460">
        <f t="shared" si="43"/>
        <v>946.8506041065357</v>
      </c>
      <c r="I230" s="380">
        <f t="shared" si="44"/>
      </c>
      <c r="J230" s="380">
        <f t="shared" si="45"/>
      </c>
      <c r="K230" s="461">
        <f t="shared" si="46"/>
        <v>757.4804832852286</v>
      </c>
      <c r="L230" s="488">
        <f t="shared" si="47"/>
        <v>1286201.8606183182</v>
      </c>
      <c r="M230" s="488"/>
      <c r="N230" s="478">
        <v>687</v>
      </c>
      <c r="O230" s="389" t="s">
        <v>1045</v>
      </c>
      <c r="P230" s="471">
        <v>0</v>
      </c>
      <c r="Q230" s="472" t="s">
        <v>819</v>
      </c>
      <c r="R230"/>
      <c r="V230"/>
      <c r="W230"/>
      <c r="X230" s="473" t="s">
        <v>270</v>
      </c>
      <c r="Y230" s="474">
        <v>22</v>
      </c>
      <c r="Z230" s="475">
        <v>3818738.84</v>
      </c>
      <c r="AA230" s="476">
        <f t="shared" si="48"/>
        <v>17357903.818181816</v>
      </c>
      <c r="AB230" s="475">
        <v>1377233.5263180113</v>
      </c>
      <c r="AD230"/>
      <c r="AE230" s="489">
        <v>687</v>
      </c>
      <c r="AF230">
        <f t="shared" si="49"/>
        <v>0</v>
      </c>
      <c r="AG230"/>
      <c r="AH230" s="477">
        <v>3889.1793549115478</v>
      </c>
      <c r="AI230">
        <f t="shared" si="50"/>
        <v>3889179.3549115476</v>
      </c>
      <c r="AJ230" s="490">
        <v>1379.3294919999998</v>
      </c>
      <c r="AK230">
        <f t="shared" si="51"/>
        <v>1379329.4919999999</v>
      </c>
    </row>
    <row r="231" spans="1:37" ht="15" customHeight="1">
      <c r="A231" s="453" t="s">
        <v>1046</v>
      </c>
      <c r="B231" s="467">
        <v>3436</v>
      </c>
      <c r="C231" s="468">
        <f t="shared" si="39"/>
        <v>10020922.512641978</v>
      </c>
      <c r="D231" s="468">
        <f t="shared" si="40"/>
        <v>1392787.9106203078</v>
      </c>
      <c r="E231" s="468">
        <v>0</v>
      </c>
      <c r="F231" s="468">
        <f t="shared" si="41"/>
        <v>11413710.423262285</v>
      </c>
      <c r="G231" s="469">
        <f t="shared" si="42"/>
        <v>3321.80163657226</v>
      </c>
      <c r="H231" s="460">
        <f t="shared" si="43"/>
        <v>465.31836342773977</v>
      </c>
      <c r="I231" s="380">
        <f t="shared" si="44"/>
      </c>
      <c r="J231" s="380">
        <f t="shared" si="45"/>
      </c>
      <c r="K231" s="461">
        <f t="shared" si="46"/>
        <v>372.2546907421918</v>
      </c>
      <c r="L231" s="488">
        <f t="shared" si="47"/>
        <v>1279067.1173901712</v>
      </c>
      <c r="M231" s="488"/>
      <c r="N231" s="478">
        <v>689</v>
      </c>
      <c r="O231" s="389" t="s">
        <v>1046</v>
      </c>
      <c r="P231" s="471">
        <v>0</v>
      </c>
      <c r="Q231" s="472" t="s">
        <v>837</v>
      </c>
      <c r="X231" s="473" t="s">
        <v>271</v>
      </c>
      <c r="Y231" s="474">
        <v>20.25</v>
      </c>
      <c r="Z231" s="475">
        <v>10222855.46</v>
      </c>
      <c r="AA231" s="476">
        <f t="shared" si="48"/>
        <v>50483236.83950618</v>
      </c>
      <c r="AB231" s="475">
        <v>1392787.9106203078</v>
      </c>
      <c r="AE231" s="489">
        <v>689</v>
      </c>
      <c r="AF231">
        <f t="shared" si="49"/>
        <v>0</v>
      </c>
      <c r="AH231" s="477">
        <v>10127.664455523869</v>
      </c>
      <c r="AI231">
        <f t="shared" si="50"/>
        <v>10127664.455523869</v>
      </c>
      <c r="AJ231" s="490">
        <v>1394.907548</v>
      </c>
      <c r="AK231">
        <f t="shared" si="51"/>
        <v>1394907.548</v>
      </c>
    </row>
    <row r="232" spans="1:37" ht="15" customHeight="1">
      <c r="A232" s="453" t="s">
        <v>1047</v>
      </c>
      <c r="B232" s="467">
        <v>2813</v>
      </c>
      <c r="C232" s="468">
        <f t="shared" si="39"/>
        <v>6380084.071133333</v>
      </c>
      <c r="D232" s="468">
        <f t="shared" si="40"/>
        <v>372414.331074157</v>
      </c>
      <c r="E232" s="468">
        <v>0</v>
      </c>
      <c r="F232" s="468">
        <f t="shared" si="41"/>
        <v>6752498.40220749</v>
      </c>
      <c r="G232" s="469">
        <f t="shared" si="42"/>
        <v>2400.4615720609636</v>
      </c>
      <c r="H232" s="460">
        <f t="shared" si="43"/>
        <v>1386.6584279390363</v>
      </c>
      <c r="I232" s="380">
        <f t="shared" si="44"/>
      </c>
      <c r="J232" s="380">
        <f t="shared" si="45"/>
      </c>
      <c r="K232" s="461">
        <f t="shared" si="46"/>
        <v>1109.326742351229</v>
      </c>
      <c r="L232" s="488">
        <f t="shared" si="47"/>
        <v>3120536.1262340075</v>
      </c>
      <c r="M232" s="488"/>
      <c r="N232" s="478">
        <v>691</v>
      </c>
      <c r="O232" s="389" t="s">
        <v>1047</v>
      </c>
      <c r="P232" s="471">
        <v>0</v>
      </c>
      <c r="Q232" s="472" t="s">
        <v>757</v>
      </c>
      <c r="X232" s="473" t="s">
        <v>272</v>
      </c>
      <c r="Y232" s="474">
        <v>22.5</v>
      </c>
      <c r="Z232" s="475">
        <v>7231833.33</v>
      </c>
      <c r="AA232" s="476">
        <f t="shared" si="48"/>
        <v>32141481.466666665</v>
      </c>
      <c r="AB232" s="475">
        <v>372414.331074157</v>
      </c>
      <c r="AE232" s="489">
        <v>691</v>
      </c>
      <c r="AF232">
        <f t="shared" si="49"/>
        <v>0</v>
      </c>
      <c r="AH232" s="477">
        <v>6994.366789696848</v>
      </c>
      <c r="AI232">
        <f t="shared" si="50"/>
        <v>6994366.789696848</v>
      </c>
      <c r="AJ232" s="490">
        <v>372.98109600000004</v>
      </c>
      <c r="AK232">
        <f t="shared" si="51"/>
        <v>372981.096</v>
      </c>
    </row>
    <row r="233" spans="1:37" ht="15" customHeight="1">
      <c r="A233" s="453" t="s">
        <v>1048</v>
      </c>
      <c r="B233" s="467">
        <v>29021</v>
      </c>
      <c r="C233" s="468">
        <f t="shared" si="39"/>
        <v>100321467.71541464</v>
      </c>
      <c r="D233" s="468">
        <f t="shared" si="40"/>
        <v>8142843.88599165</v>
      </c>
      <c r="E233" s="468">
        <v>0</v>
      </c>
      <c r="F233" s="468">
        <f t="shared" si="41"/>
        <v>108464311.60140629</v>
      </c>
      <c r="G233" s="469">
        <f t="shared" si="42"/>
        <v>3737.442252210685</v>
      </c>
      <c r="H233" s="460">
        <f t="shared" si="43"/>
        <v>49.67774778931471</v>
      </c>
      <c r="I233" s="380">
        <f t="shared" si="44"/>
      </c>
      <c r="J233" s="380">
        <f t="shared" si="45"/>
      </c>
      <c r="K233" s="461">
        <f t="shared" si="46"/>
        <v>39.742198231451766</v>
      </c>
      <c r="L233" s="488">
        <f t="shared" si="47"/>
        <v>1153358.3348749618</v>
      </c>
      <c r="M233" s="488"/>
      <c r="N233" s="478">
        <v>694</v>
      </c>
      <c r="O233" s="389" t="s">
        <v>1048</v>
      </c>
      <c r="P233" s="471">
        <v>0</v>
      </c>
      <c r="Q233" s="472" t="s">
        <v>779</v>
      </c>
      <c r="X233" s="473" t="s">
        <v>273</v>
      </c>
      <c r="Y233" s="474">
        <v>20.5</v>
      </c>
      <c r="Z233" s="475">
        <v>103606553.56</v>
      </c>
      <c r="AA233" s="476">
        <f t="shared" si="48"/>
        <v>505397822.24390244</v>
      </c>
      <c r="AB233" s="475">
        <v>8142843.88599165</v>
      </c>
      <c r="AE233" s="489">
        <v>694</v>
      </c>
      <c r="AF233">
        <f t="shared" si="49"/>
        <v>0</v>
      </c>
      <c r="AH233" s="477">
        <v>103719.18771039406</v>
      </c>
      <c r="AI233">
        <f t="shared" si="50"/>
        <v>103719187.71039407</v>
      </c>
      <c r="AJ233" s="490">
        <v>8155.236208</v>
      </c>
      <c r="AK233">
        <f t="shared" si="51"/>
        <v>8155236.208000001</v>
      </c>
    </row>
    <row r="234" spans="1:37" ht="15" customHeight="1">
      <c r="A234" s="453" t="s">
        <v>1049</v>
      </c>
      <c r="B234" s="467">
        <v>1317</v>
      </c>
      <c r="C234" s="468">
        <f t="shared" si="39"/>
        <v>3372798.144093023</v>
      </c>
      <c r="D234" s="468">
        <f t="shared" si="40"/>
        <v>446643.33243742277</v>
      </c>
      <c r="E234" s="468">
        <v>0</v>
      </c>
      <c r="F234" s="468">
        <f t="shared" si="41"/>
        <v>3819441.4765304457</v>
      </c>
      <c r="G234" s="469">
        <f t="shared" si="42"/>
        <v>2900.1074233336717</v>
      </c>
      <c r="H234" s="460">
        <f t="shared" si="43"/>
        <v>887.0125766663282</v>
      </c>
      <c r="I234" s="380">
        <f t="shared" si="44"/>
      </c>
      <c r="J234" s="380">
        <f t="shared" si="45"/>
      </c>
      <c r="K234" s="461">
        <f t="shared" si="46"/>
        <v>709.6100613330626</v>
      </c>
      <c r="L234" s="488">
        <f t="shared" si="47"/>
        <v>934556.4507756435</v>
      </c>
      <c r="M234" s="488"/>
      <c r="N234" s="478">
        <v>697</v>
      </c>
      <c r="O234" s="389" t="s">
        <v>1049</v>
      </c>
      <c r="P234" s="471">
        <v>0</v>
      </c>
      <c r="Q234" s="472" t="s">
        <v>808</v>
      </c>
      <c r="X234" s="473" t="s">
        <v>274</v>
      </c>
      <c r="Y234" s="474">
        <v>21.5</v>
      </c>
      <c r="Z234" s="475">
        <v>3653156.68</v>
      </c>
      <c r="AA234" s="476">
        <f t="shared" si="48"/>
        <v>16991426.41860465</v>
      </c>
      <c r="AB234" s="475">
        <v>446643.33243742277</v>
      </c>
      <c r="AE234" s="489">
        <v>697</v>
      </c>
      <c r="AF234">
        <f t="shared" si="49"/>
        <v>0</v>
      </c>
      <c r="AH234" s="477">
        <v>3612.769246291806</v>
      </c>
      <c r="AI234">
        <f t="shared" si="50"/>
        <v>3612769.246291806</v>
      </c>
      <c r="AJ234" s="490">
        <v>447.323064</v>
      </c>
      <c r="AK234">
        <f t="shared" si="51"/>
        <v>447323.064</v>
      </c>
    </row>
    <row r="235" spans="1:37" ht="15" customHeight="1">
      <c r="A235" s="453" t="s">
        <v>1050</v>
      </c>
      <c r="B235" s="467">
        <v>62420</v>
      </c>
      <c r="C235" s="468">
        <f t="shared" si="39"/>
        <v>196771727.41340476</v>
      </c>
      <c r="D235" s="468">
        <f t="shared" si="40"/>
        <v>10412801.309641624</v>
      </c>
      <c r="E235" s="468">
        <v>0</v>
      </c>
      <c r="F235" s="468">
        <f t="shared" si="41"/>
        <v>207184528.7230464</v>
      </c>
      <c r="G235" s="469">
        <f t="shared" si="42"/>
        <v>3319.201036895969</v>
      </c>
      <c r="H235" s="460">
        <f t="shared" si="43"/>
        <v>467.9189631040308</v>
      </c>
      <c r="I235" s="380">
        <f t="shared" si="44"/>
      </c>
      <c r="J235" s="380">
        <f t="shared" si="45"/>
      </c>
      <c r="K235" s="461">
        <f t="shared" si="46"/>
        <v>374.33517048322466</v>
      </c>
      <c r="L235" s="488">
        <f t="shared" si="47"/>
        <v>23366001.341562882</v>
      </c>
      <c r="M235" s="488"/>
      <c r="N235" s="478">
        <v>698</v>
      </c>
      <c r="O235" s="389" t="s">
        <v>1050</v>
      </c>
      <c r="P235" s="471">
        <v>0</v>
      </c>
      <c r="Q235" s="472" t="s">
        <v>770</v>
      </c>
      <c r="X235" s="473" t="s">
        <v>275</v>
      </c>
      <c r="Y235" s="474">
        <v>21</v>
      </c>
      <c r="Z235" s="475">
        <v>208171600.79</v>
      </c>
      <c r="AA235" s="476">
        <f t="shared" si="48"/>
        <v>991293337.0952381</v>
      </c>
      <c r="AB235" s="475">
        <v>10412801.309641624</v>
      </c>
      <c r="AE235" s="489">
        <v>698</v>
      </c>
      <c r="AF235">
        <f t="shared" si="49"/>
        <v>0</v>
      </c>
      <c r="AH235" s="477">
        <v>208947.65602150466</v>
      </c>
      <c r="AI235">
        <f t="shared" si="50"/>
        <v>208947656.02150467</v>
      </c>
      <c r="AJ235" s="490">
        <v>10428.648204</v>
      </c>
      <c r="AK235">
        <f t="shared" si="51"/>
        <v>10428648.204</v>
      </c>
    </row>
    <row r="236" spans="1:37" ht="15" customHeight="1">
      <c r="A236" s="453" t="s">
        <v>1051</v>
      </c>
      <c r="B236" s="467">
        <v>5218</v>
      </c>
      <c r="C236" s="468">
        <f t="shared" si="39"/>
        <v>16676233.928682925</v>
      </c>
      <c r="D236" s="468">
        <f t="shared" si="40"/>
        <v>2020352.5609497083</v>
      </c>
      <c r="E236" s="468">
        <v>0</v>
      </c>
      <c r="F236" s="468">
        <f t="shared" si="41"/>
        <v>18696586.489632633</v>
      </c>
      <c r="G236" s="469">
        <f t="shared" si="42"/>
        <v>3583.0943828349236</v>
      </c>
      <c r="H236" s="460">
        <f t="shared" si="43"/>
        <v>204.02561716507626</v>
      </c>
      <c r="I236" s="380">
        <f t="shared" si="44"/>
      </c>
      <c r="J236" s="380">
        <f t="shared" si="45"/>
      </c>
      <c r="K236" s="461">
        <f t="shared" si="46"/>
        <v>163.22049373206102</v>
      </c>
      <c r="L236" s="488">
        <f t="shared" si="47"/>
        <v>851684.5362938944</v>
      </c>
      <c r="M236" s="488"/>
      <c r="N236" s="478">
        <v>700</v>
      </c>
      <c r="O236" s="389" t="s">
        <v>1051</v>
      </c>
      <c r="P236" s="471">
        <v>0</v>
      </c>
      <c r="Q236" s="472" t="s">
        <v>837</v>
      </c>
      <c r="X236" s="473" t="s">
        <v>276</v>
      </c>
      <c r="Y236" s="474">
        <v>20.5</v>
      </c>
      <c r="Z236" s="475">
        <v>17222307.08</v>
      </c>
      <c r="AA236" s="476">
        <f t="shared" si="48"/>
        <v>84011254.04878047</v>
      </c>
      <c r="AB236" s="475">
        <v>2020352.5609497083</v>
      </c>
      <c r="AE236" s="489">
        <v>700</v>
      </c>
      <c r="AF236">
        <f t="shared" si="49"/>
        <v>0</v>
      </c>
      <c r="AH236" s="477">
        <v>17226.67273555467</v>
      </c>
      <c r="AI236">
        <f t="shared" si="50"/>
        <v>17226672.735554673</v>
      </c>
      <c r="AJ236" s="490">
        <v>2023.4272680000004</v>
      </c>
      <c r="AK236">
        <f t="shared" si="51"/>
        <v>2023427.2680000004</v>
      </c>
    </row>
    <row r="237" spans="1:37" ht="15" customHeight="1">
      <c r="A237" s="453" t="s">
        <v>1052</v>
      </c>
      <c r="B237" s="467">
        <v>4459</v>
      </c>
      <c r="C237" s="468">
        <f t="shared" si="39"/>
        <v>11666509.731386364</v>
      </c>
      <c r="D237" s="468">
        <f t="shared" si="40"/>
        <v>1802339.080380635</v>
      </c>
      <c r="E237" s="468">
        <v>0</v>
      </c>
      <c r="F237" s="468">
        <f t="shared" si="41"/>
        <v>13468848.811766999</v>
      </c>
      <c r="G237" s="469">
        <f t="shared" si="42"/>
        <v>3020.5985224864316</v>
      </c>
      <c r="H237" s="460">
        <f t="shared" si="43"/>
        <v>766.5214775135682</v>
      </c>
      <c r="I237" s="380">
        <f t="shared" si="44"/>
      </c>
      <c r="J237" s="380">
        <f t="shared" si="45"/>
      </c>
      <c r="K237" s="461">
        <f t="shared" si="46"/>
        <v>613.2171820108546</v>
      </c>
      <c r="L237" s="488">
        <f t="shared" si="47"/>
        <v>2734335.4145864006</v>
      </c>
      <c r="M237" s="488"/>
      <c r="N237" s="478">
        <v>702</v>
      </c>
      <c r="O237" s="389" t="s">
        <v>1052</v>
      </c>
      <c r="P237" s="471">
        <v>0</v>
      </c>
      <c r="Q237" s="472" t="s">
        <v>765</v>
      </c>
      <c r="X237" s="473" t="s">
        <v>277</v>
      </c>
      <c r="Y237" s="474">
        <v>22</v>
      </c>
      <c r="Z237" s="475">
        <v>12930136.73</v>
      </c>
      <c r="AA237" s="476">
        <f t="shared" si="48"/>
        <v>58773348.77272727</v>
      </c>
      <c r="AB237" s="475">
        <v>1802339.080380635</v>
      </c>
      <c r="AE237" s="489">
        <v>702</v>
      </c>
      <c r="AF237">
        <f t="shared" si="49"/>
        <v>0</v>
      </c>
      <c r="AH237" s="477">
        <v>12928.716563860771</v>
      </c>
      <c r="AI237">
        <f t="shared" si="50"/>
        <v>12928716.56386077</v>
      </c>
      <c r="AJ237" s="490">
        <v>1805.082</v>
      </c>
      <c r="AK237">
        <f t="shared" si="51"/>
        <v>1805082</v>
      </c>
    </row>
    <row r="238" spans="1:37" ht="15" customHeight="1">
      <c r="A238" s="466" t="s">
        <v>1053</v>
      </c>
      <c r="B238" s="467">
        <v>6263</v>
      </c>
      <c r="C238" s="468">
        <f t="shared" si="39"/>
        <v>22309240.430556964</v>
      </c>
      <c r="D238" s="468">
        <f t="shared" si="40"/>
        <v>1266352.1769384146</v>
      </c>
      <c r="E238" s="468">
        <v>0</v>
      </c>
      <c r="F238" s="468">
        <f t="shared" si="41"/>
        <v>23575592.60749538</v>
      </c>
      <c r="G238" s="469">
        <f t="shared" si="42"/>
        <v>3764.2651456962126</v>
      </c>
      <c r="H238" s="460">
        <f t="shared" si="43"/>
        <v>22.854854303787306</v>
      </c>
      <c r="I238" s="380">
        <f t="shared" si="44"/>
      </c>
      <c r="J238" s="380">
        <f t="shared" si="45"/>
      </c>
      <c r="K238" s="461">
        <f t="shared" si="46"/>
        <v>18.283883443029847</v>
      </c>
      <c r="L238" s="488">
        <f t="shared" si="47"/>
        <v>114511.96200369592</v>
      </c>
      <c r="M238" s="488"/>
      <c r="N238" s="470">
        <v>704</v>
      </c>
      <c r="O238" s="389" t="s">
        <v>1053</v>
      </c>
      <c r="P238" s="471">
        <v>0</v>
      </c>
      <c r="Q238" s="472" t="s">
        <v>764</v>
      </c>
      <c r="X238" s="473" t="s">
        <v>278</v>
      </c>
      <c r="Y238" s="474">
        <v>19.75</v>
      </c>
      <c r="Z238" s="475">
        <v>22196851.31</v>
      </c>
      <c r="AA238" s="476">
        <f t="shared" si="48"/>
        <v>112389120.55696203</v>
      </c>
      <c r="AB238" s="475">
        <v>1266352.1769384146</v>
      </c>
      <c r="AE238" s="489">
        <v>704</v>
      </c>
      <c r="AF238">
        <f t="shared" si="49"/>
        <v>0</v>
      </c>
      <c r="AH238" s="477">
        <v>22297.231067207158</v>
      </c>
      <c r="AI238">
        <f t="shared" si="50"/>
        <v>22297231.067207158</v>
      </c>
      <c r="AJ238" s="490">
        <v>1268.2793960000001</v>
      </c>
      <c r="AK238">
        <f t="shared" si="51"/>
        <v>1268279.3960000002</v>
      </c>
    </row>
    <row r="239" spans="1:37" ht="15" customHeight="1">
      <c r="A239" s="453" t="s">
        <v>1054</v>
      </c>
      <c r="B239" s="467">
        <v>2240</v>
      </c>
      <c r="C239" s="468">
        <f t="shared" si="39"/>
        <v>4417696.983093023</v>
      </c>
      <c r="D239" s="468">
        <f t="shared" si="40"/>
        <v>484868.9142018837</v>
      </c>
      <c r="E239" s="468">
        <v>0</v>
      </c>
      <c r="F239" s="468">
        <f t="shared" si="41"/>
        <v>4902565.897294907</v>
      </c>
      <c r="G239" s="469">
        <f t="shared" si="42"/>
        <v>2188.6454898637976</v>
      </c>
      <c r="H239" s="460">
        <f t="shared" si="43"/>
        <v>1598.4745101362023</v>
      </c>
      <c r="I239" s="380">
        <f t="shared" si="44"/>
      </c>
      <c r="J239" s="380">
        <f t="shared" si="45"/>
      </c>
      <c r="K239" s="461">
        <f t="shared" si="46"/>
        <v>1278.7796081089618</v>
      </c>
      <c r="L239" s="488">
        <f t="shared" si="47"/>
        <v>2864466.3221640745</v>
      </c>
      <c r="M239" s="488"/>
      <c r="N239" s="478">
        <v>707</v>
      </c>
      <c r="O239" s="389" t="s">
        <v>1054</v>
      </c>
      <c r="P239" s="471">
        <v>0</v>
      </c>
      <c r="Q239" s="472" t="s">
        <v>826</v>
      </c>
      <c r="X239" s="473" t="s">
        <v>279</v>
      </c>
      <c r="Y239" s="474">
        <v>21.5</v>
      </c>
      <c r="Z239" s="475">
        <v>4784911.09</v>
      </c>
      <c r="AA239" s="476">
        <f t="shared" si="48"/>
        <v>22255400.41860465</v>
      </c>
      <c r="AB239" s="475">
        <v>484868.9142018837</v>
      </c>
      <c r="AE239" s="489">
        <v>707</v>
      </c>
      <c r="AF239">
        <f t="shared" si="49"/>
        <v>0</v>
      </c>
      <c r="AH239" s="477">
        <v>4860.024248133504</v>
      </c>
      <c r="AI239">
        <f t="shared" si="50"/>
        <v>4860024.248133505</v>
      </c>
      <c r="AJ239" s="490">
        <v>485.60682</v>
      </c>
      <c r="AK239">
        <f t="shared" si="51"/>
        <v>485606.82</v>
      </c>
    </row>
    <row r="240" spans="1:37" ht="15" customHeight="1">
      <c r="A240" s="466" t="s">
        <v>264</v>
      </c>
      <c r="B240" s="467">
        <v>27851</v>
      </c>
      <c r="C240" s="468">
        <f t="shared" si="39"/>
        <v>88726727.38809091</v>
      </c>
      <c r="D240" s="468">
        <f t="shared" si="40"/>
        <v>4505699.218921428</v>
      </c>
      <c r="E240" s="468">
        <v>0</v>
      </c>
      <c r="F240" s="468">
        <f t="shared" si="41"/>
        <v>93232426.60701233</v>
      </c>
      <c r="G240" s="469">
        <f t="shared" si="42"/>
        <v>3347.5432338879154</v>
      </c>
      <c r="H240" s="460">
        <f t="shared" si="43"/>
        <v>439.57676611208444</v>
      </c>
      <c r="I240" s="380">
        <f t="shared" si="44"/>
      </c>
      <c r="J240" s="380">
        <f t="shared" si="45"/>
      </c>
      <c r="K240" s="461">
        <f t="shared" si="46"/>
        <v>351.6614128896676</v>
      </c>
      <c r="L240" s="488">
        <f t="shared" si="47"/>
        <v>9794122.010390133</v>
      </c>
      <c r="M240" s="488"/>
      <c r="N240" s="470">
        <v>710</v>
      </c>
      <c r="O240" s="479" t="s">
        <v>1055</v>
      </c>
      <c r="P240" s="471">
        <v>3</v>
      </c>
      <c r="Q240" s="472" t="s">
        <v>762</v>
      </c>
      <c r="X240" s="473" t="s">
        <v>264</v>
      </c>
      <c r="Y240" s="474">
        <v>22</v>
      </c>
      <c r="Z240" s="475">
        <v>98336927.08</v>
      </c>
      <c r="AA240" s="476">
        <f t="shared" si="48"/>
        <v>446986032.1818182</v>
      </c>
      <c r="AB240" s="475">
        <v>4505699.218921428</v>
      </c>
      <c r="AE240" s="489">
        <v>710</v>
      </c>
      <c r="AF240">
        <f t="shared" si="49"/>
        <v>0</v>
      </c>
      <c r="AH240" s="477">
        <v>98618.20601972839</v>
      </c>
      <c r="AI240">
        <f t="shared" si="50"/>
        <v>98618206.01972839</v>
      </c>
      <c r="AJ240" s="490">
        <v>4512.556292</v>
      </c>
      <c r="AK240">
        <f t="shared" si="51"/>
        <v>4512556.292</v>
      </c>
    </row>
    <row r="241" spans="1:37" ht="15" customHeight="1">
      <c r="A241" s="466" t="s">
        <v>1056</v>
      </c>
      <c r="B241" s="467">
        <v>9589</v>
      </c>
      <c r="C241" s="468">
        <f t="shared" si="39"/>
        <v>23283876.446372095</v>
      </c>
      <c r="D241" s="468">
        <f t="shared" si="40"/>
        <v>2225407.1831722646</v>
      </c>
      <c r="E241" s="468">
        <v>0</v>
      </c>
      <c r="F241" s="468">
        <f t="shared" si="41"/>
        <v>25509283.62954436</v>
      </c>
      <c r="G241" s="469">
        <f t="shared" si="42"/>
        <v>2660.2652653607634</v>
      </c>
      <c r="H241" s="460">
        <f t="shared" si="43"/>
        <v>1126.8547346392365</v>
      </c>
      <c r="I241" s="380">
        <f t="shared" si="44"/>
      </c>
      <c r="J241" s="380">
        <f t="shared" si="45"/>
      </c>
      <c r="K241" s="461">
        <f t="shared" si="46"/>
        <v>901.4837877113893</v>
      </c>
      <c r="L241" s="488">
        <f t="shared" si="47"/>
        <v>8644328.040364511</v>
      </c>
      <c r="M241" s="488"/>
      <c r="N241" s="470">
        <v>729</v>
      </c>
      <c r="O241" s="389" t="s">
        <v>1056</v>
      </c>
      <c r="P241" s="471">
        <v>0</v>
      </c>
      <c r="Q241" s="472" t="s">
        <v>790</v>
      </c>
      <c r="X241" s="473" t="s">
        <v>280</v>
      </c>
      <c r="Y241" s="474">
        <v>21.5</v>
      </c>
      <c r="Z241" s="475">
        <v>25219312.02</v>
      </c>
      <c r="AA241" s="476">
        <f t="shared" si="48"/>
        <v>117299125.6744186</v>
      </c>
      <c r="AB241" s="475">
        <v>2225407.1831722646</v>
      </c>
      <c r="AE241" s="489">
        <v>729</v>
      </c>
      <c r="AF241">
        <f t="shared" si="49"/>
        <v>0</v>
      </c>
      <c r="AH241" s="477">
        <v>25291.83841788699</v>
      </c>
      <c r="AI241">
        <f t="shared" si="50"/>
        <v>25291838.417886987</v>
      </c>
      <c r="AJ241" s="490">
        <v>2228.793956</v>
      </c>
      <c r="AK241">
        <f t="shared" si="51"/>
        <v>2228793.956</v>
      </c>
    </row>
    <row r="242" spans="1:37" ht="15" customHeight="1">
      <c r="A242" s="453" t="s">
        <v>1057</v>
      </c>
      <c r="B242" s="467">
        <v>3575</v>
      </c>
      <c r="C242" s="468">
        <f t="shared" si="39"/>
        <v>8537051.795536585</v>
      </c>
      <c r="D242" s="468">
        <f t="shared" si="40"/>
        <v>1081591.1625522242</v>
      </c>
      <c r="E242" s="468">
        <v>0</v>
      </c>
      <c r="F242" s="468">
        <f t="shared" si="41"/>
        <v>9618642.95808881</v>
      </c>
      <c r="G242" s="469">
        <f t="shared" si="42"/>
        <v>2690.5294987661005</v>
      </c>
      <c r="H242" s="460">
        <f t="shared" si="43"/>
        <v>1096.5905012338994</v>
      </c>
      <c r="I242" s="380">
        <f t="shared" si="44"/>
      </c>
      <c r="J242" s="380">
        <f t="shared" si="45"/>
      </c>
      <c r="K242" s="461">
        <f t="shared" si="46"/>
        <v>877.2724009871196</v>
      </c>
      <c r="L242" s="488">
        <f t="shared" si="47"/>
        <v>3136248.8335289527</v>
      </c>
      <c r="M242" s="488"/>
      <c r="N242" s="478">
        <v>732</v>
      </c>
      <c r="O242" s="389" t="s">
        <v>1057</v>
      </c>
      <c r="P242" s="471">
        <v>0</v>
      </c>
      <c r="Q242" s="472" t="s">
        <v>770</v>
      </c>
      <c r="X242" s="473" t="s">
        <v>281</v>
      </c>
      <c r="Y242" s="474">
        <v>20.5</v>
      </c>
      <c r="Z242" s="475">
        <v>8816602.61</v>
      </c>
      <c r="AA242" s="476">
        <f t="shared" si="48"/>
        <v>43007817.6097561</v>
      </c>
      <c r="AB242" s="475">
        <v>1081591.1625522242</v>
      </c>
      <c r="AE242" s="489">
        <v>732</v>
      </c>
      <c r="AF242">
        <f t="shared" si="49"/>
        <v>0</v>
      </c>
      <c r="AH242" s="477">
        <v>8877.189051062574</v>
      </c>
      <c r="AI242">
        <f t="shared" si="50"/>
        <v>8877189.051062575</v>
      </c>
      <c r="AJ242" s="490">
        <v>1083.2371999999998</v>
      </c>
      <c r="AK242">
        <f t="shared" si="51"/>
        <v>1083237.1999999997</v>
      </c>
    </row>
    <row r="243" spans="1:37" ht="15" customHeight="1">
      <c r="A243" s="466" t="s">
        <v>1058</v>
      </c>
      <c r="B243" s="467">
        <v>52984</v>
      </c>
      <c r="C243" s="468">
        <f t="shared" si="39"/>
        <v>155491290.98349395</v>
      </c>
      <c r="D243" s="468">
        <f t="shared" si="40"/>
        <v>11646001.82298906</v>
      </c>
      <c r="E243" s="468">
        <v>0</v>
      </c>
      <c r="F243" s="468">
        <f t="shared" si="41"/>
        <v>167137292.806483</v>
      </c>
      <c r="G243" s="469">
        <f t="shared" si="42"/>
        <v>3154.4861242352977</v>
      </c>
      <c r="H243" s="460">
        <f t="shared" si="43"/>
        <v>632.6338757647022</v>
      </c>
      <c r="I243" s="380">
        <f t="shared" si="44"/>
      </c>
      <c r="J243" s="380">
        <f t="shared" si="45"/>
      </c>
      <c r="K243" s="461">
        <f t="shared" si="46"/>
        <v>506.1071006117618</v>
      </c>
      <c r="L243" s="488">
        <f t="shared" si="47"/>
        <v>26815578.618813585</v>
      </c>
      <c r="M243" s="488"/>
      <c r="N243" s="470">
        <v>734</v>
      </c>
      <c r="O243" s="389" t="s">
        <v>1058</v>
      </c>
      <c r="P243" s="471">
        <v>0</v>
      </c>
      <c r="Q243" s="472" t="s">
        <v>764</v>
      </c>
      <c r="X243" s="473" t="s">
        <v>282</v>
      </c>
      <c r="Y243" s="474">
        <v>20.75</v>
      </c>
      <c r="Z243" s="475">
        <v>162541273.95</v>
      </c>
      <c r="AA243" s="476">
        <f t="shared" si="48"/>
        <v>783331440.7228914</v>
      </c>
      <c r="AB243" s="475">
        <v>11646001.82298906</v>
      </c>
      <c r="AE243" s="489">
        <v>734</v>
      </c>
      <c r="AF243">
        <f t="shared" si="49"/>
        <v>0</v>
      </c>
      <c r="AH243" s="477">
        <v>162621.7729380327</v>
      </c>
      <c r="AI243">
        <f t="shared" si="50"/>
        <v>162621772.9380327</v>
      </c>
      <c r="AJ243" s="490">
        <v>11663.725484</v>
      </c>
      <c r="AK243">
        <f t="shared" si="51"/>
        <v>11663725.484000001</v>
      </c>
    </row>
    <row r="244" spans="1:37" ht="15" customHeight="1">
      <c r="A244" s="453" t="s">
        <v>1059</v>
      </c>
      <c r="B244" s="467">
        <v>3007</v>
      </c>
      <c r="C244" s="468">
        <f t="shared" si="39"/>
        <v>9046476.733465115</v>
      </c>
      <c r="D244" s="468">
        <f t="shared" si="40"/>
        <v>476188.4407244019</v>
      </c>
      <c r="E244" s="468">
        <v>0</v>
      </c>
      <c r="F244" s="468">
        <f t="shared" si="41"/>
        <v>9522665.174189517</v>
      </c>
      <c r="G244" s="469">
        <f t="shared" si="42"/>
        <v>3166.8324490154696</v>
      </c>
      <c r="H244" s="460">
        <f t="shared" si="43"/>
        <v>620.2875509845303</v>
      </c>
      <c r="I244" s="380">
        <f t="shared" si="44"/>
      </c>
      <c r="J244" s="380">
        <f t="shared" si="45"/>
      </c>
      <c r="K244" s="461">
        <f t="shared" si="46"/>
        <v>496.23004078762426</v>
      </c>
      <c r="L244" s="488">
        <f t="shared" si="47"/>
        <v>1492163.7326483862</v>
      </c>
      <c r="M244" s="488"/>
      <c r="N244" s="478">
        <v>738</v>
      </c>
      <c r="O244" s="479" t="s">
        <v>1060</v>
      </c>
      <c r="P244" s="471">
        <v>0</v>
      </c>
      <c r="Q244" s="472" t="s">
        <v>764</v>
      </c>
      <c r="X244" s="473" t="s">
        <v>284</v>
      </c>
      <c r="Y244" s="474">
        <v>21.5</v>
      </c>
      <c r="Z244" s="475">
        <v>9798450.87</v>
      </c>
      <c r="AA244" s="476">
        <f t="shared" si="48"/>
        <v>45574190.09302325</v>
      </c>
      <c r="AB244" s="475">
        <v>476188.4407244019</v>
      </c>
      <c r="AE244" s="489">
        <v>738</v>
      </c>
      <c r="AF244">
        <f t="shared" si="49"/>
        <v>0</v>
      </c>
      <c r="AH244" s="477">
        <v>9898.51210746876</v>
      </c>
      <c r="AI244">
        <f t="shared" si="50"/>
        <v>9898512.10746876</v>
      </c>
      <c r="AJ244" s="490">
        <v>476.913136</v>
      </c>
      <c r="AK244">
        <f t="shared" si="51"/>
        <v>476913.136</v>
      </c>
    </row>
    <row r="245" spans="1:37" ht="15" customHeight="1">
      <c r="A245" s="453" t="s">
        <v>1061</v>
      </c>
      <c r="B245" s="467">
        <v>3480</v>
      </c>
      <c r="C245" s="468">
        <f t="shared" si="39"/>
        <v>8947307.029023256</v>
      </c>
      <c r="D245" s="468">
        <f t="shared" si="40"/>
        <v>1172671.4664812195</v>
      </c>
      <c r="E245" s="468">
        <v>0</v>
      </c>
      <c r="F245" s="468">
        <f t="shared" si="41"/>
        <v>10119978.495504476</v>
      </c>
      <c r="G245" s="469">
        <f t="shared" si="42"/>
        <v>2908.0397975587575</v>
      </c>
      <c r="H245" s="460">
        <f t="shared" si="43"/>
        <v>879.0802024412424</v>
      </c>
      <c r="I245" s="380">
        <f t="shared" si="44"/>
      </c>
      <c r="J245" s="380">
        <f t="shared" si="45"/>
      </c>
      <c r="K245" s="461">
        <f t="shared" si="46"/>
        <v>703.264161952994</v>
      </c>
      <c r="L245" s="488">
        <f t="shared" si="47"/>
        <v>2447359.283596419</v>
      </c>
      <c r="M245" s="488"/>
      <c r="N245" s="478">
        <v>739</v>
      </c>
      <c r="O245" s="389" t="s">
        <v>1061</v>
      </c>
      <c r="P245" s="471">
        <v>0</v>
      </c>
      <c r="Q245" s="472" t="s">
        <v>837</v>
      </c>
      <c r="X245" s="473" t="s">
        <v>285</v>
      </c>
      <c r="Y245" s="474">
        <v>21.5</v>
      </c>
      <c r="Z245" s="475">
        <v>9691037.84</v>
      </c>
      <c r="AA245" s="476">
        <f t="shared" si="48"/>
        <v>45074594.60465116</v>
      </c>
      <c r="AB245" s="475">
        <v>1172671.4664812195</v>
      </c>
      <c r="AE245" s="489">
        <v>739</v>
      </c>
      <c r="AF245">
        <f t="shared" si="49"/>
        <v>0</v>
      </c>
      <c r="AH245" s="477">
        <v>9793.28553159689</v>
      </c>
      <c r="AI245">
        <f t="shared" si="50"/>
        <v>9793285.53159689</v>
      </c>
      <c r="AJ245" s="490">
        <v>1174.456116</v>
      </c>
      <c r="AK245">
        <f t="shared" si="51"/>
        <v>1174456.1160000002</v>
      </c>
    </row>
    <row r="246" spans="1:37" ht="15" customHeight="1">
      <c r="A246" s="466" t="s">
        <v>1062</v>
      </c>
      <c r="B246" s="467">
        <v>34664</v>
      </c>
      <c r="C246" s="468">
        <f t="shared" si="39"/>
        <v>98578061.91775002</v>
      </c>
      <c r="D246" s="468">
        <f t="shared" si="40"/>
        <v>9699850.669397011</v>
      </c>
      <c r="E246" s="468">
        <v>0</v>
      </c>
      <c r="F246" s="468">
        <f t="shared" si="41"/>
        <v>108277912.58714703</v>
      </c>
      <c r="G246" s="469">
        <f t="shared" si="42"/>
        <v>3123.6416047526836</v>
      </c>
      <c r="H246" s="460">
        <f t="shared" si="43"/>
        <v>663.4783952473163</v>
      </c>
      <c r="I246" s="380">
        <f t="shared" si="44"/>
      </c>
      <c r="J246" s="380">
        <f t="shared" si="45"/>
      </c>
      <c r="K246" s="461">
        <f t="shared" si="46"/>
        <v>530.782716197853</v>
      </c>
      <c r="L246" s="488">
        <f t="shared" si="47"/>
        <v>18399052.074282378</v>
      </c>
      <c r="M246" s="488"/>
      <c r="N246" s="470">
        <v>740</v>
      </c>
      <c r="O246" s="479" t="s">
        <v>1063</v>
      </c>
      <c r="P246" s="471">
        <v>0</v>
      </c>
      <c r="Q246" s="472" t="s">
        <v>767</v>
      </c>
      <c r="X246" s="473" t="s">
        <v>286</v>
      </c>
      <c r="Y246" s="474">
        <v>22</v>
      </c>
      <c r="Z246" s="475">
        <v>109255282.73</v>
      </c>
      <c r="AA246" s="476">
        <f t="shared" si="48"/>
        <v>496614921.5</v>
      </c>
      <c r="AB246" s="475">
        <v>9699850.669397011</v>
      </c>
      <c r="AE246" s="489">
        <v>740</v>
      </c>
      <c r="AF246">
        <f t="shared" si="49"/>
        <v>0</v>
      </c>
      <c r="AH246" s="477">
        <v>109734.43654870836</v>
      </c>
      <c r="AI246">
        <f t="shared" si="50"/>
        <v>109734436.54870835</v>
      </c>
      <c r="AJ246" s="490">
        <v>9714.612548</v>
      </c>
      <c r="AK246">
        <f t="shared" si="51"/>
        <v>9714612.547999999</v>
      </c>
    </row>
    <row r="247" spans="1:37" ht="15" customHeight="1">
      <c r="A247" s="453" t="s">
        <v>1064</v>
      </c>
      <c r="B247" s="467">
        <v>1012</v>
      </c>
      <c r="C247" s="468">
        <f t="shared" si="39"/>
        <v>2583131.4437701153</v>
      </c>
      <c r="D247" s="468">
        <f t="shared" si="40"/>
        <v>969429.7891983407</v>
      </c>
      <c r="E247" s="468">
        <v>0</v>
      </c>
      <c r="F247" s="468">
        <f t="shared" si="41"/>
        <v>3552561.232968456</v>
      </c>
      <c r="G247" s="469">
        <f t="shared" si="42"/>
        <v>3510.4360009569723</v>
      </c>
      <c r="H247" s="460">
        <f t="shared" si="43"/>
        <v>276.6839990430276</v>
      </c>
      <c r="I247" s="380">
        <f t="shared" si="44"/>
      </c>
      <c r="J247" s="380">
        <f t="shared" si="45"/>
      </c>
      <c r="K247" s="461">
        <f t="shared" si="46"/>
        <v>221.34719923442208</v>
      </c>
      <c r="L247" s="488">
        <f t="shared" si="47"/>
        <v>224003.36562523514</v>
      </c>
      <c r="M247" s="488"/>
      <c r="N247" s="478">
        <v>742</v>
      </c>
      <c r="O247" s="389" t="s">
        <v>1064</v>
      </c>
      <c r="P247" s="471">
        <v>0</v>
      </c>
      <c r="Q247" s="472" t="s">
        <v>770</v>
      </c>
      <c r="X247" s="473" t="s">
        <v>287</v>
      </c>
      <c r="Y247" s="474">
        <v>21.75</v>
      </c>
      <c r="Z247" s="475">
        <v>2830383.32</v>
      </c>
      <c r="AA247" s="476">
        <f t="shared" si="48"/>
        <v>13013256.64367816</v>
      </c>
      <c r="AB247" s="475">
        <v>969429.7891983407</v>
      </c>
      <c r="AE247" s="489">
        <v>742</v>
      </c>
      <c r="AF247">
        <f t="shared" si="49"/>
        <v>0</v>
      </c>
      <c r="AH247" s="477">
        <v>2778.6593471455353</v>
      </c>
      <c r="AI247">
        <f t="shared" si="50"/>
        <v>2778659.3471455355</v>
      </c>
      <c r="AJ247" s="490">
        <v>970.9051320000001</v>
      </c>
      <c r="AK247">
        <f t="shared" si="51"/>
        <v>970905.1320000001</v>
      </c>
    </row>
    <row r="248" spans="1:37" ht="15" customHeight="1">
      <c r="A248" s="466" t="s">
        <v>1065</v>
      </c>
      <c r="B248" s="467">
        <v>62676</v>
      </c>
      <c r="C248" s="468">
        <f t="shared" si="39"/>
        <v>200710926.25347623</v>
      </c>
      <c r="D248" s="468">
        <f t="shared" si="40"/>
        <v>14597791.73256286</v>
      </c>
      <c r="E248" s="468">
        <v>0</v>
      </c>
      <c r="F248" s="468">
        <f t="shared" si="41"/>
        <v>215308717.9860391</v>
      </c>
      <c r="G248" s="469">
        <f t="shared" si="42"/>
        <v>3435.2657793419985</v>
      </c>
      <c r="H248" s="460">
        <f t="shared" si="43"/>
        <v>351.8542206580014</v>
      </c>
      <c r="I248" s="380">
        <f t="shared" si="44"/>
      </c>
      <c r="J248" s="380">
        <f t="shared" si="45"/>
      </c>
      <c r="K248" s="461">
        <f t="shared" si="46"/>
        <v>281.4833765264011</v>
      </c>
      <c r="L248" s="488">
        <f t="shared" si="47"/>
        <v>17642252.107168715</v>
      </c>
      <c r="M248" s="488"/>
      <c r="N248" s="470">
        <v>743</v>
      </c>
      <c r="O248" s="389" t="s">
        <v>1065</v>
      </c>
      <c r="P248" s="471">
        <v>0</v>
      </c>
      <c r="Q248" s="472" t="s">
        <v>755</v>
      </c>
      <c r="X248" s="473" t="s">
        <v>288</v>
      </c>
      <c r="Y248" s="474">
        <v>21</v>
      </c>
      <c r="Z248" s="475">
        <v>212339015.18</v>
      </c>
      <c r="AA248" s="476">
        <f t="shared" si="48"/>
        <v>1011138167.5238096</v>
      </c>
      <c r="AB248" s="475">
        <v>14597791.73256286</v>
      </c>
      <c r="AE248" s="489">
        <v>743</v>
      </c>
      <c r="AF248">
        <f t="shared" si="49"/>
        <v>0</v>
      </c>
      <c r="AH248" s="477">
        <v>211412.75392809158</v>
      </c>
      <c r="AI248">
        <f t="shared" si="50"/>
        <v>211412753.9280916</v>
      </c>
      <c r="AJ248" s="490">
        <v>14620.007624</v>
      </c>
      <c r="AK248">
        <f t="shared" si="51"/>
        <v>14620007.624</v>
      </c>
    </row>
    <row r="249" spans="1:37" ht="15" customHeight="1">
      <c r="A249" s="453" t="s">
        <v>1066</v>
      </c>
      <c r="B249" s="467">
        <v>5035</v>
      </c>
      <c r="C249" s="468">
        <f t="shared" si="39"/>
        <v>11265496.364321839</v>
      </c>
      <c r="D249" s="468">
        <f t="shared" si="40"/>
        <v>1915812.9522868306</v>
      </c>
      <c r="E249" s="468">
        <v>0</v>
      </c>
      <c r="F249" s="468">
        <f t="shared" si="41"/>
        <v>13181309.31660867</v>
      </c>
      <c r="G249" s="469">
        <f t="shared" si="42"/>
        <v>2617.9363091576306</v>
      </c>
      <c r="H249" s="460">
        <f t="shared" si="43"/>
        <v>1169.1836908423693</v>
      </c>
      <c r="I249" s="380">
        <f t="shared" si="44"/>
      </c>
      <c r="J249" s="380">
        <f t="shared" si="45"/>
      </c>
      <c r="K249" s="461">
        <f t="shared" si="46"/>
        <v>935.3469526738954</v>
      </c>
      <c r="L249" s="488">
        <f t="shared" si="47"/>
        <v>4709471.906713064</v>
      </c>
      <c r="M249" s="488"/>
      <c r="N249" s="478">
        <v>746</v>
      </c>
      <c r="O249" s="389" t="s">
        <v>1066</v>
      </c>
      <c r="P249" s="471">
        <v>0</v>
      </c>
      <c r="Q249" s="472" t="s">
        <v>757</v>
      </c>
      <c r="X249" s="473" t="s">
        <v>289</v>
      </c>
      <c r="Y249" s="474">
        <v>21.75</v>
      </c>
      <c r="Z249" s="475">
        <v>12343805.84</v>
      </c>
      <c r="AA249" s="476">
        <f t="shared" si="48"/>
        <v>56753130.29885057</v>
      </c>
      <c r="AB249" s="475">
        <v>1915812.9522868306</v>
      </c>
      <c r="AE249" s="489">
        <v>746</v>
      </c>
      <c r="AF249">
        <f t="shared" si="49"/>
        <v>0</v>
      </c>
      <c r="AH249" s="477">
        <v>12292.750988380669</v>
      </c>
      <c r="AI249">
        <f t="shared" si="50"/>
        <v>12292750.988380669</v>
      </c>
      <c r="AJ249" s="490">
        <v>1918.7285640000002</v>
      </c>
      <c r="AK249">
        <f t="shared" si="51"/>
        <v>1918728.5640000002</v>
      </c>
    </row>
    <row r="250" spans="1:37" ht="15" customHeight="1">
      <c r="A250" s="453" t="s">
        <v>1067</v>
      </c>
      <c r="B250" s="467">
        <v>1476</v>
      </c>
      <c r="C250" s="468">
        <f t="shared" si="39"/>
        <v>3060687.3890227275</v>
      </c>
      <c r="D250" s="468">
        <f t="shared" si="40"/>
        <v>575576.0420550784</v>
      </c>
      <c r="E250" s="468">
        <v>0</v>
      </c>
      <c r="F250" s="468">
        <f t="shared" si="41"/>
        <v>3636263.431077806</v>
      </c>
      <c r="G250" s="469">
        <f t="shared" si="42"/>
        <v>2463.5931104863184</v>
      </c>
      <c r="H250" s="460">
        <f t="shared" si="43"/>
        <v>1323.5268895136815</v>
      </c>
      <c r="I250" s="380">
        <f t="shared" si="44"/>
      </c>
      <c r="J250" s="380">
        <f t="shared" si="45"/>
      </c>
      <c r="K250" s="461">
        <f t="shared" si="46"/>
        <v>1058.8215116109452</v>
      </c>
      <c r="L250" s="488">
        <f t="shared" si="47"/>
        <v>1562820.5511377552</v>
      </c>
      <c r="M250" s="488"/>
      <c r="N250" s="478">
        <v>747</v>
      </c>
      <c r="O250" s="389" t="s">
        <v>1067</v>
      </c>
      <c r="P250" s="471">
        <v>0</v>
      </c>
      <c r="Q250" s="472" t="s">
        <v>774</v>
      </c>
      <c r="X250" s="473" t="s">
        <v>290</v>
      </c>
      <c r="Y250" s="474">
        <v>22</v>
      </c>
      <c r="Z250" s="475">
        <v>3392197.61</v>
      </c>
      <c r="AA250" s="476">
        <f t="shared" si="48"/>
        <v>15419080.045454545</v>
      </c>
      <c r="AB250" s="475">
        <v>575576.0420550784</v>
      </c>
      <c r="AE250" s="489">
        <v>747</v>
      </c>
      <c r="AF250">
        <f t="shared" si="49"/>
        <v>0</v>
      </c>
      <c r="AH250" s="477">
        <v>3422.1785848063178</v>
      </c>
      <c r="AI250">
        <f t="shared" si="50"/>
        <v>3422178.584806318</v>
      </c>
      <c r="AJ250" s="490">
        <v>576.451992</v>
      </c>
      <c r="AK250">
        <f t="shared" si="51"/>
        <v>576451.992</v>
      </c>
    </row>
    <row r="251" spans="1:37" ht="15" customHeight="1">
      <c r="A251" s="453" t="s">
        <v>1068</v>
      </c>
      <c r="B251" s="467">
        <v>5343</v>
      </c>
      <c r="C251" s="468">
        <f t="shared" si="39"/>
        <v>13428434.935136363</v>
      </c>
      <c r="D251" s="468">
        <f t="shared" si="40"/>
        <v>834472.7637855846</v>
      </c>
      <c r="E251" s="468">
        <v>0</v>
      </c>
      <c r="F251" s="468">
        <f t="shared" si="41"/>
        <v>14262907.698921947</v>
      </c>
      <c r="G251" s="469">
        <f t="shared" si="42"/>
        <v>2669.45680309226</v>
      </c>
      <c r="H251" s="460">
        <f t="shared" si="43"/>
        <v>1117.6631969077398</v>
      </c>
      <c r="I251" s="380">
        <f t="shared" si="44"/>
      </c>
      <c r="J251" s="380">
        <f t="shared" si="45"/>
      </c>
      <c r="K251" s="461">
        <f t="shared" si="46"/>
        <v>894.1305575261919</v>
      </c>
      <c r="L251" s="488">
        <f t="shared" si="47"/>
        <v>4777339.568862443</v>
      </c>
      <c r="M251" s="488"/>
      <c r="N251" s="478">
        <v>748</v>
      </c>
      <c r="O251" s="389" t="s">
        <v>1068</v>
      </c>
      <c r="P251" s="471">
        <v>0</v>
      </c>
      <c r="Q251" s="472" t="s">
        <v>757</v>
      </c>
      <c r="X251" s="473" t="s">
        <v>291</v>
      </c>
      <c r="Y251" s="474">
        <v>22</v>
      </c>
      <c r="Z251" s="475">
        <v>14882900.18</v>
      </c>
      <c r="AA251" s="476">
        <f t="shared" si="48"/>
        <v>67649546.27272727</v>
      </c>
      <c r="AB251" s="475">
        <v>834472.7637855846</v>
      </c>
      <c r="AE251" s="489">
        <v>748</v>
      </c>
      <c r="AF251">
        <f t="shared" si="49"/>
        <v>0</v>
      </c>
      <c r="AH251" s="477">
        <v>14642.853784146764</v>
      </c>
      <c r="AI251">
        <f t="shared" si="50"/>
        <v>14642853.784146763</v>
      </c>
      <c r="AJ251" s="490">
        <v>835.7427200000001</v>
      </c>
      <c r="AK251">
        <f t="shared" si="51"/>
        <v>835742.7200000001</v>
      </c>
    </row>
    <row r="252" spans="1:37" ht="15" customHeight="1">
      <c r="A252" s="453" t="s">
        <v>1069</v>
      </c>
      <c r="B252" s="467">
        <v>21657</v>
      </c>
      <c r="C252" s="468">
        <f t="shared" si="39"/>
        <v>70771767.69378825</v>
      </c>
      <c r="D252" s="468">
        <f t="shared" si="40"/>
        <v>3955977.446117923</v>
      </c>
      <c r="E252" s="468">
        <v>0</v>
      </c>
      <c r="F252" s="468">
        <f t="shared" si="41"/>
        <v>74727745.13990617</v>
      </c>
      <c r="G252" s="469">
        <f t="shared" si="42"/>
        <v>3450.512311950232</v>
      </c>
      <c r="H252" s="460">
        <f t="shared" si="43"/>
        <v>336.60768804976806</v>
      </c>
      <c r="I252" s="380">
        <f t="shared" si="44"/>
      </c>
      <c r="J252" s="380">
        <f t="shared" si="45"/>
      </c>
      <c r="K252" s="461">
        <f t="shared" si="46"/>
        <v>269.28615043981443</v>
      </c>
      <c r="L252" s="488">
        <f t="shared" si="47"/>
        <v>5831930.160075061</v>
      </c>
      <c r="M252" s="488"/>
      <c r="N252" s="478">
        <v>749</v>
      </c>
      <c r="O252" s="389" t="s">
        <v>1069</v>
      </c>
      <c r="P252" s="471">
        <v>0</v>
      </c>
      <c r="Q252" s="472" t="s">
        <v>819</v>
      </c>
      <c r="X252" s="473" t="s">
        <v>293</v>
      </c>
      <c r="Y252" s="474">
        <v>21.25</v>
      </c>
      <c r="Z252" s="475">
        <v>75763227.38</v>
      </c>
      <c r="AA252" s="476">
        <f t="shared" si="48"/>
        <v>356532834.7294118</v>
      </c>
      <c r="AB252" s="475">
        <v>3955977.446117923</v>
      </c>
      <c r="AE252" s="489">
        <v>749</v>
      </c>
      <c r="AF252">
        <f t="shared" si="49"/>
        <v>0</v>
      </c>
      <c r="AH252" s="477">
        <v>76118.18937468386</v>
      </c>
      <c r="AI252">
        <f t="shared" si="50"/>
        <v>76118189.37468386</v>
      </c>
      <c r="AJ252" s="490">
        <v>3961.9979160000003</v>
      </c>
      <c r="AK252">
        <f t="shared" si="51"/>
        <v>3961997.916</v>
      </c>
    </row>
    <row r="253" spans="1:37" ht="15" customHeight="1">
      <c r="A253" s="453" t="s">
        <v>1070</v>
      </c>
      <c r="B253" s="467">
        <v>3110</v>
      </c>
      <c r="C253" s="468">
        <f t="shared" si="39"/>
        <v>9321555.335250001</v>
      </c>
      <c r="D253" s="468">
        <f t="shared" si="40"/>
        <v>349541.9038568327</v>
      </c>
      <c r="E253" s="468">
        <v>0</v>
      </c>
      <c r="F253" s="468">
        <f t="shared" si="41"/>
        <v>9671097.239106834</v>
      </c>
      <c r="G253" s="469">
        <f t="shared" si="42"/>
        <v>3109.677568844641</v>
      </c>
      <c r="H253" s="460">
        <f t="shared" si="43"/>
        <v>677.4424311553589</v>
      </c>
      <c r="I253" s="380">
        <f t="shared" si="44"/>
      </c>
      <c r="J253" s="380">
        <f t="shared" si="45"/>
      </c>
      <c r="K253" s="461">
        <f t="shared" si="46"/>
        <v>541.9539449242872</v>
      </c>
      <c r="L253" s="488">
        <f t="shared" si="47"/>
        <v>1685476.768714533</v>
      </c>
      <c r="M253" s="488"/>
      <c r="N253" s="478">
        <v>751</v>
      </c>
      <c r="O253" s="389" t="s">
        <v>1070</v>
      </c>
      <c r="P253" s="471">
        <v>0</v>
      </c>
      <c r="Q253" s="472" t="s">
        <v>770</v>
      </c>
      <c r="X253" s="473" t="s">
        <v>294</v>
      </c>
      <c r="Y253" s="474">
        <v>22</v>
      </c>
      <c r="Z253" s="475">
        <v>10331194.83</v>
      </c>
      <c r="AA253" s="476">
        <f t="shared" si="48"/>
        <v>46959976.5</v>
      </c>
      <c r="AB253" s="475">
        <v>349541.9038568327</v>
      </c>
      <c r="AE253" s="489">
        <v>751</v>
      </c>
      <c r="AF253">
        <f t="shared" si="49"/>
        <v>0</v>
      </c>
      <c r="AH253" s="477">
        <v>10371.303642552697</v>
      </c>
      <c r="AI253">
        <f t="shared" si="50"/>
        <v>10371303.642552696</v>
      </c>
      <c r="AJ253" s="490">
        <v>350.07386</v>
      </c>
      <c r="AK253">
        <f t="shared" si="51"/>
        <v>350073.86000000004</v>
      </c>
    </row>
    <row r="254" spans="1:37" ht="15" customHeight="1">
      <c r="A254" s="453" t="s">
        <v>1071</v>
      </c>
      <c r="B254" s="467">
        <v>20310</v>
      </c>
      <c r="C254" s="468">
        <f t="shared" si="39"/>
        <v>88307563.471013</v>
      </c>
      <c r="D254" s="468">
        <f t="shared" si="40"/>
        <v>4601049.085146237</v>
      </c>
      <c r="E254" s="468">
        <v>0</v>
      </c>
      <c r="F254" s="468">
        <f t="shared" si="41"/>
        <v>92908612.55615923</v>
      </c>
      <c r="G254" s="469">
        <f t="shared" si="42"/>
        <v>4574.525482824187</v>
      </c>
      <c r="H254" s="460">
        <f t="shared" si="43"/>
        <v>-787.405482824187</v>
      </c>
      <c r="I254" s="380">
        <f t="shared" si="44"/>
        <v>6.668743341686038</v>
      </c>
      <c r="J254" s="380">
        <f t="shared" si="45"/>
        <v>36.66874334168604</v>
      </c>
      <c r="K254" s="461">
        <f t="shared" si="46"/>
        <v>-288.73169555516483</v>
      </c>
      <c r="L254" s="488">
        <f t="shared" si="47"/>
        <v>-5864140.736725397</v>
      </c>
      <c r="M254" s="488"/>
      <c r="N254" s="478">
        <v>753</v>
      </c>
      <c r="O254" s="479" t="s">
        <v>1072</v>
      </c>
      <c r="P254" s="471">
        <v>1</v>
      </c>
      <c r="Q254" s="472" t="s">
        <v>762</v>
      </c>
      <c r="U254" s="53"/>
      <c r="X254" s="473" t="s">
        <v>295</v>
      </c>
      <c r="Y254" s="474">
        <v>19.25</v>
      </c>
      <c r="Z254" s="475">
        <v>85638317.22</v>
      </c>
      <c r="AA254" s="476">
        <f t="shared" si="48"/>
        <v>444874375.16883117</v>
      </c>
      <c r="AB254" s="475">
        <v>4601049.085146237</v>
      </c>
      <c r="AE254" s="489">
        <v>753</v>
      </c>
      <c r="AF254">
        <f t="shared" si="49"/>
        <v>0</v>
      </c>
      <c r="AH254" s="477">
        <v>85524.14999167316</v>
      </c>
      <c r="AI254">
        <f t="shared" si="50"/>
        <v>85524149.99167316</v>
      </c>
      <c r="AJ254" s="490">
        <v>4608.051267999999</v>
      </c>
      <c r="AK254">
        <f t="shared" si="51"/>
        <v>4608051.267999999</v>
      </c>
    </row>
    <row r="255" spans="1:37" ht="15" customHeight="1">
      <c r="A255" s="453" t="s">
        <v>1073</v>
      </c>
      <c r="B255" s="467">
        <v>6146</v>
      </c>
      <c r="C255" s="468">
        <f t="shared" si="39"/>
        <v>24368881.111697678</v>
      </c>
      <c r="D255" s="468">
        <f t="shared" si="40"/>
        <v>599452.740904964</v>
      </c>
      <c r="E255" s="468">
        <v>0</v>
      </c>
      <c r="F255" s="468">
        <f t="shared" si="41"/>
        <v>24968333.852602642</v>
      </c>
      <c r="G255" s="469">
        <f t="shared" si="42"/>
        <v>4062.53398187482</v>
      </c>
      <c r="H255" s="460">
        <f t="shared" si="43"/>
        <v>-275.4139818748199</v>
      </c>
      <c r="I255" s="380">
        <f t="shared" si="44"/>
        <v>5.618275354340693</v>
      </c>
      <c r="J255" s="380">
        <f t="shared" si="45"/>
        <v>35.618275354340696</v>
      </c>
      <c r="K255" s="461">
        <f t="shared" si="46"/>
        <v>-98.09771042852734</v>
      </c>
      <c r="L255" s="488">
        <f t="shared" si="47"/>
        <v>-602908.5282937291</v>
      </c>
      <c r="M255" s="488"/>
      <c r="N255" s="478">
        <v>755</v>
      </c>
      <c r="O255" s="479" t="s">
        <v>1074</v>
      </c>
      <c r="P255" s="471">
        <v>1</v>
      </c>
      <c r="Q255" s="472" t="s">
        <v>762</v>
      </c>
      <c r="X255" s="473" t="s">
        <v>296</v>
      </c>
      <c r="Y255" s="474">
        <v>21.5</v>
      </c>
      <c r="Z255" s="475">
        <v>26394505.99</v>
      </c>
      <c r="AA255" s="476">
        <f t="shared" si="48"/>
        <v>122765144.13953489</v>
      </c>
      <c r="AB255" s="475">
        <v>599452.740904964</v>
      </c>
      <c r="AE255" s="489">
        <v>755</v>
      </c>
      <c r="AF255">
        <f t="shared" si="49"/>
        <v>0</v>
      </c>
      <c r="AH255" s="477">
        <v>26377.948434732938</v>
      </c>
      <c r="AI255">
        <f t="shared" si="50"/>
        <v>26377948.434732936</v>
      </c>
      <c r="AJ255" s="490">
        <v>600.365028</v>
      </c>
      <c r="AK255">
        <f t="shared" si="51"/>
        <v>600365.028</v>
      </c>
    </row>
    <row r="256" spans="1:37" ht="15" customHeight="1">
      <c r="A256" s="453" t="s">
        <v>1075</v>
      </c>
      <c r="B256" s="467">
        <v>8545</v>
      </c>
      <c r="C256" s="468">
        <f t="shared" si="39"/>
        <v>26242400.615675002</v>
      </c>
      <c r="D256" s="468">
        <f t="shared" si="40"/>
        <v>2442673.3730181176</v>
      </c>
      <c r="E256" s="468">
        <v>0</v>
      </c>
      <c r="F256" s="468">
        <f t="shared" si="41"/>
        <v>28685073.988693118</v>
      </c>
      <c r="G256" s="469">
        <f t="shared" si="42"/>
        <v>3356.9425381735655</v>
      </c>
      <c r="H256" s="460">
        <f t="shared" si="43"/>
        <v>430.1774618264344</v>
      </c>
      <c r="I256" s="380">
        <f t="shared" si="44"/>
      </c>
      <c r="J256" s="380">
        <f t="shared" si="45"/>
      </c>
      <c r="K256" s="461">
        <f t="shared" si="46"/>
        <v>344.14196946114754</v>
      </c>
      <c r="L256" s="488">
        <f t="shared" si="47"/>
        <v>2940693.1290455055</v>
      </c>
      <c r="M256" s="488"/>
      <c r="N256" s="478">
        <v>758</v>
      </c>
      <c r="O256" s="389" t="s">
        <v>1075</v>
      </c>
      <c r="P256" s="471">
        <v>0</v>
      </c>
      <c r="Q256" s="472" t="s">
        <v>770</v>
      </c>
      <c r="X256" s="473" t="s">
        <v>297</v>
      </c>
      <c r="Y256" s="474">
        <v>20</v>
      </c>
      <c r="Z256" s="475">
        <v>26440705.91</v>
      </c>
      <c r="AA256" s="476">
        <f t="shared" si="48"/>
        <v>132203529.55</v>
      </c>
      <c r="AB256" s="475">
        <v>2442673.3730181176</v>
      </c>
      <c r="AE256" s="489">
        <v>758</v>
      </c>
      <c r="AF256">
        <f t="shared" si="49"/>
        <v>0</v>
      </c>
      <c r="AH256" s="477">
        <v>26674.433445033723</v>
      </c>
      <c r="AI256">
        <f t="shared" si="50"/>
        <v>26674433.44503372</v>
      </c>
      <c r="AJ256" s="490">
        <v>2446.3907959999997</v>
      </c>
      <c r="AK256">
        <f t="shared" si="51"/>
        <v>2446390.7959999996</v>
      </c>
    </row>
    <row r="257" spans="1:37" ht="15" customHeight="1">
      <c r="A257" s="453" t="s">
        <v>1076</v>
      </c>
      <c r="B257" s="467">
        <v>2114</v>
      </c>
      <c r="C257" s="468">
        <f t="shared" si="39"/>
        <v>4442638.36567816</v>
      </c>
      <c r="D257" s="468">
        <f t="shared" si="40"/>
        <v>590373.3744893153</v>
      </c>
      <c r="E257" s="468">
        <v>0</v>
      </c>
      <c r="F257" s="468">
        <f t="shared" si="41"/>
        <v>5033011.740167476</v>
      </c>
      <c r="G257" s="469">
        <f t="shared" si="42"/>
        <v>2380.800255519147</v>
      </c>
      <c r="H257" s="460">
        <f t="shared" si="43"/>
        <v>1406.319744480853</v>
      </c>
      <c r="I257" s="380">
        <f t="shared" si="44"/>
      </c>
      <c r="J257" s="380">
        <f t="shared" si="45"/>
      </c>
      <c r="K257" s="461">
        <f t="shared" si="46"/>
        <v>1125.0557955846823</v>
      </c>
      <c r="L257" s="488">
        <f t="shared" si="47"/>
        <v>2378367.9518660186</v>
      </c>
      <c r="M257" s="488"/>
      <c r="N257" s="478">
        <v>759</v>
      </c>
      <c r="O257" s="389" t="s">
        <v>1076</v>
      </c>
      <c r="P257" s="471">
        <v>0</v>
      </c>
      <c r="Q257" s="472" t="s">
        <v>755</v>
      </c>
      <c r="X257" s="473" t="s">
        <v>298</v>
      </c>
      <c r="Y257" s="474">
        <v>21.75</v>
      </c>
      <c r="Z257" s="475">
        <v>4867878.31</v>
      </c>
      <c r="AA257" s="476">
        <f t="shared" si="48"/>
        <v>22381049.701149423</v>
      </c>
      <c r="AB257" s="475">
        <v>590373.3744893153</v>
      </c>
      <c r="AE257" s="489">
        <v>759</v>
      </c>
      <c r="AF257">
        <f t="shared" si="49"/>
        <v>0</v>
      </c>
      <c r="AH257" s="477">
        <v>4863.566033810513</v>
      </c>
      <c r="AI257">
        <f t="shared" si="50"/>
        <v>4863566.033810513</v>
      </c>
      <c r="AJ257" s="490">
        <v>591.271844</v>
      </c>
      <c r="AK257">
        <f t="shared" si="51"/>
        <v>591271.844</v>
      </c>
    </row>
    <row r="258" spans="1:37" ht="15" customHeight="1">
      <c r="A258" s="453" t="s">
        <v>1077</v>
      </c>
      <c r="B258" s="467">
        <v>8919</v>
      </c>
      <c r="C258" s="468">
        <f t="shared" si="39"/>
        <v>23970974.772700004</v>
      </c>
      <c r="D258" s="468">
        <f t="shared" si="40"/>
        <v>1264051.5501853921</v>
      </c>
      <c r="E258" s="468">
        <v>0</v>
      </c>
      <c r="F258" s="468">
        <f t="shared" si="41"/>
        <v>25235026.322885398</v>
      </c>
      <c r="G258" s="469">
        <f t="shared" si="42"/>
        <v>2829.3560178142616</v>
      </c>
      <c r="H258" s="460">
        <f t="shared" si="43"/>
        <v>957.7639821857383</v>
      </c>
      <c r="I258" s="380">
        <f t="shared" si="44"/>
      </c>
      <c r="J258" s="380">
        <f t="shared" si="45"/>
      </c>
      <c r="K258" s="461">
        <f t="shared" si="46"/>
        <v>766.2111857485907</v>
      </c>
      <c r="L258" s="488">
        <f t="shared" si="47"/>
        <v>6833837.56569168</v>
      </c>
      <c r="M258" s="488"/>
      <c r="N258" s="478">
        <v>761</v>
      </c>
      <c r="O258" s="389" t="s">
        <v>1077</v>
      </c>
      <c r="P258" s="471">
        <v>0</v>
      </c>
      <c r="Q258" s="472" t="s">
        <v>764</v>
      </c>
      <c r="X258" s="473" t="s">
        <v>299</v>
      </c>
      <c r="Y258" s="474">
        <v>20</v>
      </c>
      <c r="Z258" s="475">
        <v>24152115.64</v>
      </c>
      <c r="AA258" s="476">
        <f t="shared" si="48"/>
        <v>120760578.2</v>
      </c>
      <c r="AB258" s="475">
        <v>1264051.5501853921</v>
      </c>
      <c r="AE258" s="489">
        <v>761</v>
      </c>
      <c r="AF258">
        <f t="shared" si="49"/>
        <v>0</v>
      </c>
      <c r="AH258" s="477">
        <v>23979.902889211906</v>
      </c>
      <c r="AI258">
        <f t="shared" si="50"/>
        <v>23979902.889211904</v>
      </c>
      <c r="AJ258" s="490">
        <v>1265.9752680000001</v>
      </c>
      <c r="AK258">
        <f t="shared" si="51"/>
        <v>1265975.2680000002</v>
      </c>
    </row>
    <row r="259" spans="1:37" ht="15" customHeight="1">
      <c r="A259" s="453" t="s">
        <v>1078</v>
      </c>
      <c r="B259" s="467">
        <v>4075</v>
      </c>
      <c r="C259" s="468">
        <f t="shared" si="39"/>
        <v>9501672.09290244</v>
      </c>
      <c r="D259" s="468">
        <f t="shared" si="40"/>
        <v>1951432.3083790522</v>
      </c>
      <c r="E259" s="468">
        <v>0</v>
      </c>
      <c r="F259" s="468">
        <f t="shared" si="41"/>
        <v>11453104.401281493</v>
      </c>
      <c r="G259" s="469">
        <f t="shared" si="42"/>
        <v>2810.577767185642</v>
      </c>
      <c r="H259" s="460">
        <f t="shared" si="43"/>
        <v>976.5422328143577</v>
      </c>
      <c r="I259" s="380">
        <f t="shared" si="44"/>
      </c>
      <c r="J259" s="380">
        <f t="shared" si="45"/>
      </c>
      <c r="K259" s="461">
        <f t="shared" si="46"/>
        <v>781.2337862514862</v>
      </c>
      <c r="L259" s="488">
        <f t="shared" si="47"/>
        <v>3183527.6789748063</v>
      </c>
      <c r="M259" s="488"/>
      <c r="N259" s="478">
        <v>762</v>
      </c>
      <c r="O259" s="389" t="s">
        <v>1078</v>
      </c>
      <c r="P259" s="471">
        <v>0</v>
      </c>
      <c r="Q259" s="472" t="s">
        <v>819</v>
      </c>
      <c r="X259" s="473" t="s">
        <v>300</v>
      </c>
      <c r="Y259" s="474">
        <v>20.5</v>
      </c>
      <c r="Z259" s="475">
        <v>9812809.97</v>
      </c>
      <c r="AA259" s="476">
        <f t="shared" si="48"/>
        <v>47867365.70731708</v>
      </c>
      <c r="AB259" s="475">
        <v>1951432.3083790522</v>
      </c>
      <c r="AE259" s="489">
        <v>762</v>
      </c>
      <c r="AF259">
        <f t="shared" si="49"/>
        <v>0</v>
      </c>
      <c r="AH259" s="477">
        <v>9609.294937390361</v>
      </c>
      <c r="AI259">
        <f t="shared" si="50"/>
        <v>9609294.937390361</v>
      </c>
      <c r="AJ259" s="490">
        <v>1954.4021280000002</v>
      </c>
      <c r="AK259">
        <f t="shared" si="51"/>
        <v>1954402.1280000003</v>
      </c>
    </row>
    <row r="260" spans="1:37" ht="15" customHeight="1">
      <c r="A260" s="453" t="s">
        <v>1079</v>
      </c>
      <c r="B260" s="467">
        <v>10423</v>
      </c>
      <c r="C260" s="468">
        <f t="shared" si="39"/>
        <v>30766510.37708236</v>
      </c>
      <c r="D260" s="468">
        <f t="shared" si="40"/>
        <v>2535461.689579762</v>
      </c>
      <c r="E260" s="468">
        <v>0</v>
      </c>
      <c r="F260" s="468">
        <f t="shared" si="41"/>
        <v>33301972.06666212</v>
      </c>
      <c r="G260" s="469">
        <f t="shared" si="42"/>
        <v>3195.046729987731</v>
      </c>
      <c r="H260" s="460">
        <f t="shared" si="43"/>
        <v>592.073270012269</v>
      </c>
      <c r="I260" s="380">
        <f t="shared" si="44"/>
      </c>
      <c r="J260" s="380">
        <f t="shared" si="45"/>
      </c>
      <c r="K260" s="461">
        <f t="shared" si="46"/>
        <v>473.6586160098152</v>
      </c>
      <c r="L260" s="488">
        <f t="shared" si="47"/>
        <v>4936943.754670304</v>
      </c>
      <c r="M260" s="488"/>
      <c r="N260" s="478">
        <v>765</v>
      </c>
      <c r="O260" s="389" t="s">
        <v>1079</v>
      </c>
      <c r="P260" s="471">
        <v>0</v>
      </c>
      <c r="Q260" s="472" t="s">
        <v>808</v>
      </c>
      <c r="X260" s="473" t="s">
        <v>301</v>
      </c>
      <c r="Y260" s="474">
        <v>21.25</v>
      </c>
      <c r="Z260" s="475">
        <v>32936440.58</v>
      </c>
      <c r="AA260" s="476">
        <f t="shared" si="48"/>
        <v>154995014.49411765</v>
      </c>
      <c r="AB260" s="475">
        <v>2535461.689579762</v>
      </c>
      <c r="AE260" s="489">
        <v>765</v>
      </c>
      <c r="AF260">
        <f t="shared" si="49"/>
        <v>0</v>
      </c>
      <c r="AH260" s="477">
        <v>32913.472087022375</v>
      </c>
      <c r="AI260">
        <f t="shared" si="50"/>
        <v>32913472.087022375</v>
      </c>
      <c r="AJ260" s="490">
        <v>2539.320324</v>
      </c>
      <c r="AK260">
        <f t="shared" si="51"/>
        <v>2539320.324</v>
      </c>
    </row>
    <row r="261" spans="1:37" ht="15" customHeight="1">
      <c r="A261" s="453" t="s">
        <v>1080</v>
      </c>
      <c r="B261" s="467">
        <v>2588</v>
      </c>
      <c r="C261" s="468">
        <f t="shared" si="39"/>
        <v>5805253.234162791</v>
      </c>
      <c r="D261" s="468">
        <f t="shared" si="40"/>
        <v>1143252.1267912153</v>
      </c>
      <c r="E261" s="468">
        <v>0</v>
      </c>
      <c r="F261" s="468">
        <f t="shared" si="41"/>
        <v>6948505.360954006</v>
      </c>
      <c r="G261" s="469">
        <f t="shared" si="42"/>
        <v>2684.8938798122126</v>
      </c>
      <c r="H261" s="460">
        <f t="shared" si="43"/>
        <v>1102.2261201877873</v>
      </c>
      <c r="I261" s="380">
        <f t="shared" si="44"/>
      </c>
      <c r="J261" s="380">
        <f t="shared" si="45"/>
      </c>
      <c r="K261" s="461">
        <f t="shared" si="46"/>
        <v>881.7808961502299</v>
      </c>
      <c r="L261" s="488">
        <f t="shared" si="47"/>
        <v>2282048.959236795</v>
      </c>
      <c r="M261" s="488"/>
      <c r="N261" s="478">
        <v>768</v>
      </c>
      <c r="O261" s="389" t="s">
        <v>1080</v>
      </c>
      <c r="P261" s="471">
        <v>0</v>
      </c>
      <c r="Q261" s="472" t="s">
        <v>767</v>
      </c>
      <c r="X261" s="473" t="s">
        <v>302</v>
      </c>
      <c r="Y261" s="474">
        <v>21.5</v>
      </c>
      <c r="Z261" s="475">
        <v>6287805.77</v>
      </c>
      <c r="AA261" s="476">
        <f t="shared" si="48"/>
        <v>29245608.23255814</v>
      </c>
      <c r="AB261" s="475">
        <v>1143252.1267912153</v>
      </c>
      <c r="AE261" s="489">
        <v>768</v>
      </c>
      <c r="AF261">
        <f t="shared" si="49"/>
        <v>0</v>
      </c>
      <c r="AH261" s="477">
        <v>6326.058604886712</v>
      </c>
      <c r="AI261">
        <f t="shared" si="50"/>
        <v>6326058.604886712</v>
      </c>
      <c r="AJ261" s="490">
        <v>1144.992004</v>
      </c>
      <c r="AK261">
        <f t="shared" si="51"/>
        <v>1144992.004</v>
      </c>
    </row>
    <row r="262" spans="1:37" ht="15" customHeight="1">
      <c r="A262" s="453" t="s">
        <v>1081</v>
      </c>
      <c r="B262" s="467">
        <v>8051</v>
      </c>
      <c r="C262" s="468">
        <f t="shared" si="39"/>
        <v>19834506.542439025</v>
      </c>
      <c r="D262" s="468">
        <f t="shared" si="40"/>
        <v>2624452.3576557348</v>
      </c>
      <c r="E262" s="468">
        <v>0</v>
      </c>
      <c r="F262" s="468">
        <f t="shared" si="41"/>
        <v>22458958.90009476</v>
      </c>
      <c r="G262" s="469">
        <f t="shared" si="42"/>
        <v>2789.58625016703</v>
      </c>
      <c r="H262" s="460">
        <f t="shared" si="43"/>
        <v>997.53374983297</v>
      </c>
      <c r="I262" s="380">
        <f t="shared" si="44"/>
      </c>
      <c r="J262" s="380">
        <f t="shared" si="45"/>
      </c>
      <c r="K262" s="461">
        <f t="shared" si="46"/>
        <v>798.0269998663761</v>
      </c>
      <c r="L262" s="488">
        <f t="shared" si="47"/>
        <v>6424915.375924193</v>
      </c>
      <c r="M262" s="488"/>
      <c r="N262" s="478">
        <v>777</v>
      </c>
      <c r="O262" s="389" t="s">
        <v>1081</v>
      </c>
      <c r="P262" s="471">
        <v>0</v>
      </c>
      <c r="Q262" s="472" t="s">
        <v>808</v>
      </c>
      <c r="X262" s="473" t="s">
        <v>303</v>
      </c>
      <c r="Y262" s="474">
        <v>20.5</v>
      </c>
      <c r="Z262" s="475">
        <v>20483999.2</v>
      </c>
      <c r="AA262" s="476">
        <f t="shared" si="48"/>
        <v>99921947.31707317</v>
      </c>
      <c r="AB262" s="475">
        <v>2624452.3576557348</v>
      </c>
      <c r="AE262" s="489">
        <v>777</v>
      </c>
      <c r="AF262">
        <f t="shared" si="49"/>
        <v>0</v>
      </c>
      <c r="AH262" s="477">
        <v>20708.197300175976</v>
      </c>
      <c r="AI262">
        <f t="shared" si="50"/>
        <v>20708197.300175976</v>
      </c>
      <c r="AJ262" s="490">
        <v>2628.446424</v>
      </c>
      <c r="AK262">
        <f t="shared" si="51"/>
        <v>2628446.424</v>
      </c>
    </row>
    <row r="263" spans="1:37" ht="15" customHeight="1">
      <c r="A263" s="453" t="s">
        <v>1082</v>
      </c>
      <c r="B263" s="467">
        <v>7266</v>
      </c>
      <c r="C263" s="468">
        <f t="shared" si="39"/>
        <v>18970928.76829885</v>
      </c>
      <c r="D263" s="468">
        <f t="shared" si="40"/>
        <v>1687068.4069666124</v>
      </c>
      <c r="E263" s="468">
        <v>0</v>
      </c>
      <c r="F263" s="468">
        <f t="shared" si="41"/>
        <v>20657997.17526546</v>
      </c>
      <c r="G263" s="469">
        <f t="shared" si="42"/>
        <v>2843.1044832460034</v>
      </c>
      <c r="H263" s="460">
        <f t="shared" si="43"/>
        <v>944.0155167539965</v>
      </c>
      <c r="I263" s="380">
        <f t="shared" si="44"/>
      </c>
      <c r="J263" s="380">
        <f t="shared" si="45"/>
      </c>
      <c r="K263" s="461">
        <f t="shared" si="46"/>
        <v>755.2124134031973</v>
      </c>
      <c r="L263" s="488">
        <f t="shared" si="47"/>
        <v>5487373.395787631</v>
      </c>
      <c r="M263" s="488"/>
      <c r="N263" s="478">
        <v>778</v>
      </c>
      <c r="O263" s="389" t="s">
        <v>1082</v>
      </c>
      <c r="P263" s="471">
        <v>0</v>
      </c>
      <c r="Q263" s="472" t="s">
        <v>819</v>
      </c>
      <c r="X263" s="473" t="s">
        <v>304</v>
      </c>
      <c r="Y263" s="474">
        <v>21.75</v>
      </c>
      <c r="Z263" s="475">
        <v>20786785.93</v>
      </c>
      <c r="AA263" s="476">
        <f t="shared" si="48"/>
        <v>95571429.56321838</v>
      </c>
      <c r="AB263" s="475">
        <v>1687068.4069666124</v>
      </c>
      <c r="AE263" s="489">
        <v>778</v>
      </c>
      <c r="AF263">
        <f t="shared" si="49"/>
        <v>0</v>
      </c>
      <c r="AH263" s="477">
        <v>20480.065177577395</v>
      </c>
      <c r="AI263">
        <f t="shared" si="50"/>
        <v>20480065.177577395</v>
      </c>
      <c r="AJ263" s="490">
        <v>1689.6358999999998</v>
      </c>
      <c r="AK263">
        <f t="shared" si="51"/>
        <v>1689635.8999999997</v>
      </c>
    </row>
    <row r="264" spans="1:37" ht="15" customHeight="1">
      <c r="A264" s="453" t="s">
        <v>1083</v>
      </c>
      <c r="B264" s="467">
        <v>3859</v>
      </c>
      <c r="C264" s="468">
        <f t="shared" si="39"/>
        <v>9004175.069526317</v>
      </c>
      <c r="D264" s="468">
        <f t="shared" si="40"/>
        <v>1354246.0302201712</v>
      </c>
      <c r="E264" s="468">
        <v>0</v>
      </c>
      <c r="F264" s="468">
        <f t="shared" si="41"/>
        <v>10358421.099746488</v>
      </c>
      <c r="G264" s="469">
        <f t="shared" si="42"/>
        <v>2684.224177182298</v>
      </c>
      <c r="H264" s="460">
        <f t="shared" si="43"/>
        <v>1102.895822817702</v>
      </c>
      <c r="I264" s="380">
        <f t="shared" si="44"/>
      </c>
      <c r="J264" s="380">
        <f t="shared" si="45"/>
      </c>
      <c r="K264" s="461">
        <f t="shared" si="46"/>
        <v>882.3166582541617</v>
      </c>
      <c r="L264" s="488">
        <f t="shared" si="47"/>
        <v>3404859.98420281</v>
      </c>
      <c r="M264" s="488"/>
      <c r="N264" s="478">
        <v>781</v>
      </c>
      <c r="O264" s="389" t="s">
        <v>1083</v>
      </c>
      <c r="P264" s="471">
        <v>0</v>
      </c>
      <c r="Q264" s="472" t="s">
        <v>760</v>
      </c>
      <c r="X264" s="473" t="s">
        <v>305</v>
      </c>
      <c r="Y264" s="474">
        <v>19</v>
      </c>
      <c r="Z264" s="475">
        <v>8618605.86</v>
      </c>
      <c r="AA264" s="476">
        <f t="shared" si="48"/>
        <v>45361083.473684214</v>
      </c>
      <c r="AB264" s="475">
        <v>1354246.0302201712</v>
      </c>
      <c r="AE264" s="489">
        <v>781</v>
      </c>
      <c r="AF264">
        <f t="shared" si="49"/>
        <v>0</v>
      </c>
      <c r="AH264" s="477">
        <v>8546.006536448687</v>
      </c>
      <c r="AI264">
        <f t="shared" si="50"/>
        <v>8546006.536448687</v>
      </c>
      <c r="AJ264" s="490">
        <v>1356.307012</v>
      </c>
      <c r="AK264">
        <f t="shared" si="51"/>
        <v>1356307.0119999999</v>
      </c>
    </row>
    <row r="265" spans="1:37" ht="15" customHeight="1">
      <c r="A265" s="453" t="s">
        <v>1084</v>
      </c>
      <c r="B265" s="467">
        <v>6903</v>
      </c>
      <c r="C265" s="468">
        <f t="shared" si="39"/>
        <v>21993478.162255816</v>
      </c>
      <c r="D265" s="468">
        <f t="shared" si="40"/>
        <v>1397227.3543792</v>
      </c>
      <c r="E265" s="468">
        <v>0</v>
      </c>
      <c r="F265" s="468">
        <f t="shared" si="41"/>
        <v>23390705.516635016</v>
      </c>
      <c r="G265" s="469">
        <f t="shared" si="42"/>
        <v>3388.484067309143</v>
      </c>
      <c r="H265" s="460">
        <f t="shared" si="43"/>
        <v>398.63593269085686</v>
      </c>
      <c r="I265" s="380">
        <f t="shared" si="44"/>
      </c>
      <c r="J265" s="380">
        <f t="shared" si="45"/>
      </c>
      <c r="K265" s="461">
        <f t="shared" si="46"/>
        <v>318.9087461526855</v>
      </c>
      <c r="L265" s="488">
        <f t="shared" si="47"/>
        <v>2201427.074691988</v>
      </c>
      <c r="M265" s="488"/>
      <c r="N265" s="478">
        <v>783</v>
      </c>
      <c r="O265" s="389" t="s">
        <v>1084</v>
      </c>
      <c r="P265" s="471">
        <v>0</v>
      </c>
      <c r="Q265" s="472" t="s">
        <v>774</v>
      </c>
      <c r="X265" s="473" t="s">
        <v>306</v>
      </c>
      <c r="Y265" s="474">
        <v>21.5</v>
      </c>
      <c r="Z265" s="475">
        <v>23821651.41</v>
      </c>
      <c r="AA265" s="476">
        <f t="shared" si="48"/>
        <v>110798378.65116279</v>
      </c>
      <c r="AB265" s="475">
        <v>1397227.3543792</v>
      </c>
      <c r="AE265" s="489">
        <v>783</v>
      </c>
      <c r="AF265">
        <f t="shared" si="49"/>
        <v>0</v>
      </c>
      <c r="AH265" s="477">
        <v>24068.188600332953</v>
      </c>
      <c r="AI265">
        <f t="shared" si="50"/>
        <v>24068188.600332953</v>
      </c>
      <c r="AJ265" s="490">
        <v>1399.353748</v>
      </c>
      <c r="AK265">
        <f t="shared" si="51"/>
        <v>1399353.748</v>
      </c>
    </row>
    <row r="266" spans="1:37" ht="15" customHeight="1">
      <c r="A266" s="453" t="s">
        <v>1085</v>
      </c>
      <c r="B266" s="467">
        <v>2941</v>
      </c>
      <c r="C266" s="468">
        <f t="shared" si="39"/>
        <v>7080944.2747441875</v>
      </c>
      <c r="D266" s="468">
        <f t="shared" si="40"/>
        <v>622136.8906554736</v>
      </c>
      <c r="E266" s="468">
        <v>0</v>
      </c>
      <c r="F266" s="468">
        <f t="shared" si="41"/>
        <v>7703081.165399661</v>
      </c>
      <c r="G266" s="469">
        <f t="shared" si="42"/>
        <v>2619.204748520796</v>
      </c>
      <c r="H266" s="460">
        <f t="shared" si="43"/>
        <v>1167.915251479204</v>
      </c>
      <c r="I266" s="380">
        <f t="shared" si="44"/>
      </c>
      <c r="J266" s="380">
        <f t="shared" si="45"/>
      </c>
      <c r="K266" s="461">
        <f t="shared" si="46"/>
        <v>934.3322011833633</v>
      </c>
      <c r="L266" s="488">
        <f t="shared" si="47"/>
        <v>2747871.0036802716</v>
      </c>
      <c r="M266" s="488"/>
      <c r="N266" s="478">
        <v>785</v>
      </c>
      <c r="O266" s="389" t="s">
        <v>1085</v>
      </c>
      <c r="P266" s="471">
        <v>0</v>
      </c>
      <c r="Q266" s="472" t="s">
        <v>757</v>
      </c>
      <c r="X266" s="473" t="s">
        <v>330</v>
      </c>
      <c r="Y266" s="474">
        <v>21.5</v>
      </c>
      <c r="Z266" s="475">
        <v>7669536.62</v>
      </c>
      <c r="AA266" s="476">
        <f t="shared" si="48"/>
        <v>35672263.34883721</v>
      </c>
      <c r="AB266" s="475">
        <v>622136.8906554736</v>
      </c>
      <c r="AE266" s="489">
        <v>785</v>
      </c>
      <c r="AF266">
        <f t="shared" si="49"/>
        <v>0</v>
      </c>
      <c r="AH266" s="477">
        <v>7704.37744899502</v>
      </c>
      <c r="AI266">
        <f t="shared" si="50"/>
        <v>7704377.44899502</v>
      </c>
      <c r="AJ266" s="490">
        <v>623.0836999999999</v>
      </c>
      <c r="AK266">
        <f t="shared" si="51"/>
        <v>623083.7</v>
      </c>
    </row>
    <row r="267" spans="1:37" ht="15" customHeight="1">
      <c r="A267" s="453" t="s">
        <v>283</v>
      </c>
      <c r="B267" s="467">
        <v>24820</v>
      </c>
      <c r="C267" s="468">
        <f t="shared" si="39"/>
        <v>67936729.7027711</v>
      </c>
      <c r="D267" s="468">
        <f t="shared" si="40"/>
        <v>4716202.437107857</v>
      </c>
      <c r="E267" s="468">
        <v>0</v>
      </c>
      <c r="F267" s="468">
        <f t="shared" si="41"/>
        <v>72652932.13987896</v>
      </c>
      <c r="G267" s="469">
        <f t="shared" si="42"/>
        <v>2927.19307574049</v>
      </c>
      <c r="H267" s="460">
        <f t="shared" si="43"/>
        <v>859.9269242595101</v>
      </c>
      <c r="I267" s="380">
        <f t="shared" si="44"/>
      </c>
      <c r="J267" s="380">
        <f t="shared" si="45"/>
      </c>
      <c r="K267" s="461">
        <f t="shared" si="46"/>
        <v>687.9415394076082</v>
      </c>
      <c r="L267" s="488">
        <f t="shared" si="47"/>
        <v>17074709.008096833</v>
      </c>
      <c r="M267" s="488"/>
      <c r="N267" s="478">
        <v>790</v>
      </c>
      <c r="O267" s="389" t="s">
        <v>283</v>
      </c>
      <c r="P267" s="471">
        <v>0</v>
      </c>
      <c r="Q267" s="472" t="s">
        <v>765</v>
      </c>
      <c r="X267" s="473" t="s">
        <v>283</v>
      </c>
      <c r="Y267" s="474">
        <v>20.75</v>
      </c>
      <c r="Z267" s="475">
        <v>71016984.45</v>
      </c>
      <c r="AA267" s="476">
        <f t="shared" si="48"/>
        <v>342250527.4698795</v>
      </c>
      <c r="AB267" s="475">
        <v>4716202.437107857</v>
      </c>
      <c r="AE267" s="489">
        <v>790</v>
      </c>
      <c r="AF267">
        <f t="shared" si="49"/>
        <v>0</v>
      </c>
      <c r="AH267" s="477">
        <v>71164.5037743954</v>
      </c>
      <c r="AI267">
        <f t="shared" si="50"/>
        <v>71164503.7743954</v>
      </c>
      <c r="AJ267" s="490">
        <v>4723.379867999999</v>
      </c>
      <c r="AK267">
        <f t="shared" si="51"/>
        <v>4723379.867999999</v>
      </c>
    </row>
    <row r="268" spans="1:37" ht="15" customHeight="1">
      <c r="A268" s="466" t="s">
        <v>292</v>
      </c>
      <c r="B268" s="467">
        <v>5447</v>
      </c>
      <c r="C268" s="468">
        <f t="shared" si="39"/>
        <v>12467489.171840908</v>
      </c>
      <c r="D268" s="468">
        <f t="shared" si="40"/>
        <v>1161222.9575843455</v>
      </c>
      <c r="E268" s="468">
        <v>0</v>
      </c>
      <c r="F268" s="468">
        <f t="shared" si="41"/>
        <v>13628712.129425254</v>
      </c>
      <c r="G268" s="469">
        <f t="shared" si="42"/>
        <v>2502.058404520884</v>
      </c>
      <c r="H268" s="460">
        <f t="shared" si="43"/>
        <v>1285.061595479116</v>
      </c>
      <c r="I268" s="380">
        <f t="shared" si="44"/>
      </c>
      <c r="J268" s="380">
        <f t="shared" si="45"/>
      </c>
      <c r="K268" s="461">
        <f t="shared" si="46"/>
        <v>1028.0492763832929</v>
      </c>
      <c r="L268" s="488">
        <f t="shared" si="47"/>
        <v>5599784.408459797</v>
      </c>
      <c r="M268" s="488"/>
      <c r="N268" s="470">
        <v>791</v>
      </c>
      <c r="O268" s="389" t="s">
        <v>292</v>
      </c>
      <c r="P268" s="471">
        <v>0</v>
      </c>
      <c r="Q268" s="472" t="s">
        <v>757</v>
      </c>
      <c r="X268" s="473" t="s">
        <v>292</v>
      </c>
      <c r="Y268" s="474">
        <v>22</v>
      </c>
      <c r="Z268" s="475">
        <v>13817872.13</v>
      </c>
      <c r="AA268" s="476">
        <f t="shared" si="48"/>
        <v>62808509.68181818</v>
      </c>
      <c r="AB268" s="475">
        <v>1161222.9575843455</v>
      </c>
      <c r="AE268" s="489">
        <v>791</v>
      </c>
      <c r="AF268">
        <f t="shared" si="49"/>
        <v>0</v>
      </c>
      <c r="AH268" s="477">
        <v>13604.149350049043</v>
      </c>
      <c r="AI268">
        <f t="shared" si="50"/>
        <v>13604149.350049043</v>
      </c>
      <c r="AJ268" s="490">
        <v>1162.9901839999998</v>
      </c>
      <c r="AK268">
        <f t="shared" si="51"/>
        <v>1162990.1839999997</v>
      </c>
    </row>
    <row r="269" spans="1:37" ht="15" customHeight="1">
      <c r="A269" s="453" t="s">
        <v>1086</v>
      </c>
      <c r="B269" s="467">
        <v>4774</v>
      </c>
      <c r="C269" s="468">
        <f t="shared" si="39"/>
        <v>16191101.952414637</v>
      </c>
      <c r="D269" s="468">
        <f t="shared" si="40"/>
        <v>874718.9025318939</v>
      </c>
      <c r="E269" s="468">
        <v>0</v>
      </c>
      <c r="F269" s="468">
        <f t="shared" si="41"/>
        <v>17065820.85494653</v>
      </c>
      <c r="G269" s="469">
        <f t="shared" si="42"/>
        <v>3574.7425335036723</v>
      </c>
      <c r="H269" s="460">
        <f t="shared" si="43"/>
        <v>212.37746649632754</v>
      </c>
      <c r="I269" s="380">
        <f t="shared" si="44"/>
      </c>
      <c r="J269" s="380">
        <f t="shared" si="45"/>
      </c>
      <c r="K269" s="461">
        <f t="shared" si="46"/>
        <v>169.90197319706203</v>
      </c>
      <c r="L269" s="488">
        <f t="shared" si="47"/>
        <v>811112.0200427742</v>
      </c>
      <c r="M269" s="488"/>
      <c r="N269" s="478">
        <v>831</v>
      </c>
      <c r="O269" s="389" t="s">
        <v>1086</v>
      </c>
      <c r="P269" s="471">
        <v>0</v>
      </c>
      <c r="Q269" s="472" t="s">
        <v>837</v>
      </c>
      <c r="X269" s="473" t="s">
        <v>307</v>
      </c>
      <c r="Y269" s="474">
        <v>20.5</v>
      </c>
      <c r="Z269" s="475">
        <v>16721289.17</v>
      </c>
      <c r="AA269" s="476">
        <f t="shared" si="48"/>
        <v>81567264.24390244</v>
      </c>
      <c r="AB269" s="475">
        <v>874718.9025318939</v>
      </c>
      <c r="AE269" s="489">
        <v>831</v>
      </c>
      <c r="AF269">
        <f t="shared" si="49"/>
        <v>0</v>
      </c>
      <c r="AH269" s="477">
        <v>16829.88099954202</v>
      </c>
      <c r="AI269">
        <f t="shared" si="50"/>
        <v>16829880.99954202</v>
      </c>
      <c r="AJ269" s="490">
        <v>876.0501079999999</v>
      </c>
      <c r="AK269">
        <f t="shared" si="51"/>
        <v>876050.1079999999</v>
      </c>
    </row>
    <row r="270" spans="1:37" ht="15" customHeight="1">
      <c r="A270" s="453" t="s">
        <v>1087</v>
      </c>
      <c r="B270" s="467">
        <v>4058</v>
      </c>
      <c r="C270" s="468">
        <f t="shared" si="39"/>
        <v>9404326.647146342</v>
      </c>
      <c r="D270" s="468">
        <f t="shared" si="40"/>
        <v>1245564.8804303408</v>
      </c>
      <c r="E270" s="468">
        <v>0</v>
      </c>
      <c r="F270" s="468">
        <f t="shared" si="41"/>
        <v>10649891.527576683</v>
      </c>
      <c r="G270" s="469">
        <f t="shared" si="42"/>
        <v>2624.4188091613314</v>
      </c>
      <c r="H270" s="460">
        <f t="shared" si="43"/>
        <v>1162.7011908386685</v>
      </c>
      <c r="I270" s="380">
        <f t="shared" si="44"/>
      </c>
      <c r="J270" s="380">
        <f t="shared" si="45"/>
      </c>
      <c r="K270" s="461">
        <f t="shared" si="46"/>
        <v>930.1609526709349</v>
      </c>
      <c r="L270" s="488">
        <f t="shared" si="47"/>
        <v>3774593.1459386535</v>
      </c>
      <c r="M270" s="488"/>
      <c r="N270" s="478">
        <v>832</v>
      </c>
      <c r="O270" s="389" t="s">
        <v>1087</v>
      </c>
      <c r="P270" s="471">
        <v>0</v>
      </c>
      <c r="Q270" s="472" t="s">
        <v>757</v>
      </c>
      <c r="X270" s="473" t="s">
        <v>308</v>
      </c>
      <c r="Y270" s="474">
        <v>20.5</v>
      </c>
      <c r="Z270" s="475">
        <v>9712276.89</v>
      </c>
      <c r="AA270" s="476">
        <f t="shared" si="48"/>
        <v>47376960.43902439</v>
      </c>
      <c r="AB270" s="475">
        <v>1245564.8804303408</v>
      </c>
      <c r="AE270" s="489">
        <v>832</v>
      </c>
      <c r="AF270">
        <f t="shared" si="49"/>
        <v>0</v>
      </c>
      <c r="AH270" s="477">
        <v>9860.603629098136</v>
      </c>
      <c r="AI270">
        <f t="shared" si="50"/>
        <v>9860603.629098136</v>
      </c>
      <c r="AJ270" s="490">
        <v>1247.460464</v>
      </c>
      <c r="AK270">
        <f t="shared" si="51"/>
        <v>1247460.464</v>
      </c>
    </row>
    <row r="271" spans="1:37" ht="15" customHeight="1">
      <c r="A271" s="453" t="s">
        <v>1088</v>
      </c>
      <c r="B271" s="467">
        <v>1654</v>
      </c>
      <c r="C271" s="468">
        <f t="shared" si="39"/>
        <v>4863513.990650603</v>
      </c>
      <c r="D271" s="468">
        <f t="shared" si="40"/>
        <v>227574.33422537945</v>
      </c>
      <c r="E271" s="468">
        <v>0</v>
      </c>
      <c r="F271" s="468">
        <f t="shared" si="41"/>
        <v>5091088.3248759825</v>
      </c>
      <c r="G271" s="469">
        <f t="shared" si="42"/>
        <v>3078.0461456323956</v>
      </c>
      <c r="H271" s="460">
        <f t="shared" si="43"/>
        <v>709.0738543676043</v>
      </c>
      <c r="I271" s="380">
        <f t="shared" si="44"/>
      </c>
      <c r="J271" s="380">
        <f t="shared" si="45"/>
      </c>
      <c r="K271" s="461">
        <f t="shared" si="46"/>
        <v>567.2590834940835</v>
      </c>
      <c r="L271" s="488">
        <f t="shared" si="47"/>
        <v>938246.5240992141</v>
      </c>
      <c r="M271" s="488"/>
      <c r="N271" s="478">
        <v>833</v>
      </c>
      <c r="O271" s="479" t="s">
        <v>1089</v>
      </c>
      <c r="P271" s="471">
        <v>0</v>
      </c>
      <c r="Q271" s="472" t="s">
        <v>764</v>
      </c>
      <c r="X271" s="473" t="s">
        <v>309</v>
      </c>
      <c r="Y271" s="474">
        <v>20.75</v>
      </c>
      <c r="Z271" s="475">
        <v>5084025.96</v>
      </c>
      <c r="AA271" s="476">
        <f t="shared" si="48"/>
        <v>24501329.927710842</v>
      </c>
      <c r="AB271" s="475">
        <v>227574.33422537945</v>
      </c>
      <c r="AE271" s="489">
        <v>833</v>
      </c>
      <c r="AF271">
        <f t="shared" si="49"/>
        <v>0</v>
      </c>
      <c r="AH271" s="477">
        <v>5116.536085614698</v>
      </c>
      <c r="AI271">
        <f t="shared" si="50"/>
        <v>5116536.085614698</v>
      </c>
      <c r="AJ271" s="490">
        <v>227.920672</v>
      </c>
      <c r="AK271">
        <f t="shared" si="51"/>
        <v>227920.672</v>
      </c>
    </row>
    <row r="272" spans="1:37" ht="15" customHeight="1">
      <c r="A272" s="453" t="s">
        <v>1090</v>
      </c>
      <c r="B272" s="467">
        <v>6155</v>
      </c>
      <c r="C272" s="468">
        <f t="shared" si="39"/>
        <v>18352694.97348148</v>
      </c>
      <c r="D272" s="468">
        <f t="shared" si="40"/>
        <v>1258838.5356979424</v>
      </c>
      <c r="E272" s="468">
        <v>0</v>
      </c>
      <c r="F272" s="468">
        <f t="shared" si="41"/>
        <v>19611533.50917942</v>
      </c>
      <c r="G272" s="469">
        <f t="shared" si="42"/>
        <v>3186.276768347591</v>
      </c>
      <c r="H272" s="460">
        <f t="shared" si="43"/>
        <v>600.843231652409</v>
      </c>
      <c r="I272" s="380">
        <f t="shared" si="44"/>
      </c>
      <c r="J272" s="380">
        <f t="shared" si="45"/>
      </c>
      <c r="K272" s="461">
        <f t="shared" si="46"/>
        <v>480.6745853219272</v>
      </c>
      <c r="L272" s="488">
        <f t="shared" si="47"/>
        <v>2958552.072656462</v>
      </c>
      <c r="M272" s="488"/>
      <c r="N272" s="478">
        <v>834</v>
      </c>
      <c r="O272" s="389" t="s">
        <v>1090</v>
      </c>
      <c r="P272" s="471">
        <v>0</v>
      </c>
      <c r="Q272" s="472" t="s">
        <v>779</v>
      </c>
      <c r="X272" s="473" t="s">
        <v>310</v>
      </c>
      <c r="Y272" s="474">
        <v>20.25</v>
      </c>
      <c r="Z272" s="475">
        <v>18722522.58</v>
      </c>
      <c r="AA272" s="476">
        <f t="shared" si="48"/>
        <v>92456901.62962961</v>
      </c>
      <c r="AB272" s="475">
        <v>1258838.5356979424</v>
      </c>
      <c r="AE272" s="489">
        <v>834</v>
      </c>
      <c r="AF272">
        <f t="shared" si="49"/>
        <v>0</v>
      </c>
      <c r="AH272" s="477">
        <v>18580.458021880735</v>
      </c>
      <c r="AI272">
        <f t="shared" si="50"/>
        <v>18580458.021880735</v>
      </c>
      <c r="AJ272" s="490">
        <v>1260.75432</v>
      </c>
      <c r="AK272">
        <f t="shared" si="51"/>
        <v>1260754.32</v>
      </c>
    </row>
    <row r="273" spans="1:37" ht="15" customHeight="1">
      <c r="A273" s="453" t="s">
        <v>1091</v>
      </c>
      <c r="B273" s="467">
        <v>231853</v>
      </c>
      <c r="C273" s="468">
        <f t="shared" si="39"/>
        <v>791466336.6730127</v>
      </c>
      <c r="D273" s="468">
        <f t="shared" si="40"/>
        <v>73135282.35367873</v>
      </c>
      <c r="E273" s="468">
        <v>0</v>
      </c>
      <c r="F273" s="468">
        <f t="shared" si="41"/>
        <v>864601619.0266914</v>
      </c>
      <c r="G273" s="469">
        <f t="shared" si="42"/>
        <v>3729.09394757321</v>
      </c>
      <c r="H273" s="460">
        <f t="shared" si="43"/>
        <v>58.0260524267901</v>
      </c>
      <c r="I273" s="380">
        <f t="shared" si="44"/>
      </c>
      <c r="J273" s="380">
        <f t="shared" si="45"/>
      </c>
      <c r="K273" s="461">
        <f t="shared" si="46"/>
        <v>46.42084194143209</v>
      </c>
      <c r="L273" s="488">
        <f t="shared" si="47"/>
        <v>10762811.466646854</v>
      </c>
      <c r="M273" s="488"/>
      <c r="N273" s="478">
        <v>837</v>
      </c>
      <c r="O273" s="479" t="s">
        <v>1092</v>
      </c>
      <c r="P273" s="471">
        <v>0</v>
      </c>
      <c r="Q273" s="472" t="s">
        <v>765</v>
      </c>
      <c r="X273" s="473" t="s">
        <v>311</v>
      </c>
      <c r="Y273" s="474">
        <v>19.75</v>
      </c>
      <c r="Z273" s="475">
        <v>787479100.72</v>
      </c>
      <c r="AA273" s="476">
        <f t="shared" si="48"/>
        <v>3987235953.012658</v>
      </c>
      <c r="AB273" s="475">
        <v>73135282.35367873</v>
      </c>
      <c r="AE273" s="489">
        <v>837</v>
      </c>
      <c r="AF273">
        <f t="shared" si="49"/>
        <v>0</v>
      </c>
      <c r="AH273" s="477">
        <v>787481.7690096875</v>
      </c>
      <c r="AI273">
        <f t="shared" si="50"/>
        <v>787481769.0096874</v>
      </c>
      <c r="AJ273" s="490">
        <v>73246.584496</v>
      </c>
      <c r="AK273">
        <f t="shared" si="51"/>
        <v>73246584.49599999</v>
      </c>
    </row>
    <row r="274" spans="1:37" ht="15" customHeight="1">
      <c r="A274" s="453" t="s">
        <v>1093</v>
      </c>
      <c r="B274" s="467">
        <v>1585</v>
      </c>
      <c r="C274" s="468">
        <f t="shared" si="39"/>
        <v>3369783.65913253</v>
      </c>
      <c r="D274" s="468">
        <f t="shared" si="40"/>
        <v>439615.49586705666</v>
      </c>
      <c r="E274" s="468">
        <v>0</v>
      </c>
      <c r="F274" s="468">
        <f t="shared" si="41"/>
        <v>3809399.1549995868</v>
      </c>
      <c r="G274" s="469">
        <f t="shared" si="42"/>
        <v>2403.4064069398023</v>
      </c>
      <c r="H274" s="460">
        <f t="shared" si="43"/>
        <v>1383.7135930601976</v>
      </c>
      <c r="I274" s="380">
        <f t="shared" si="44"/>
      </c>
      <c r="J274" s="380">
        <f t="shared" si="45"/>
      </c>
      <c r="K274" s="461">
        <f t="shared" si="46"/>
        <v>1106.9708744481582</v>
      </c>
      <c r="L274" s="488">
        <f t="shared" si="47"/>
        <v>1754548.8360003307</v>
      </c>
      <c r="M274" s="488"/>
      <c r="N274" s="478">
        <v>844</v>
      </c>
      <c r="O274" s="389" t="s">
        <v>1093</v>
      </c>
      <c r="P274" s="471">
        <v>0</v>
      </c>
      <c r="Q274" s="472" t="s">
        <v>819</v>
      </c>
      <c r="X274" s="473" t="s">
        <v>312</v>
      </c>
      <c r="Y274" s="474">
        <v>20.75</v>
      </c>
      <c r="Z274" s="475">
        <v>3522569.82</v>
      </c>
      <c r="AA274" s="476">
        <f t="shared" si="48"/>
        <v>16976240.096385542</v>
      </c>
      <c r="AB274" s="475">
        <v>439615.49586705666</v>
      </c>
      <c r="AE274" s="489">
        <v>844</v>
      </c>
      <c r="AF274">
        <f t="shared" si="49"/>
        <v>0</v>
      </c>
      <c r="AH274" s="477">
        <v>3542.968048794327</v>
      </c>
      <c r="AI274">
        <f t="shared" si="50"/>
        <v>3542968.048794327</v>
      </c>
      <c r="AJ274" s="490">
        <v>440.284532</v>
      </c>
      <c r="AK274">
        <f t="shared" si="51"/>
        <v>440284.532</v>
      </c>
    </row>
    <row r="275" spans="1:37" ht="15" customHeight="1">
      <c r="A275" s="453" t="s">
        <v>1094</v>
      </c>
      <c r="B275" s="467">
        <v>3068</v>
      </c>
      <c r="C275" s="468">
        <f aca="true" t="shared" si="52" ref="C275:C313">19.85*AA275/100</f>
        <v>8128849.500051282</v>
      </c>
      <c r="D275" s="468">
        <f aca="true" t="shared" si="53" ref="D275:D313">AB275</f>
        <v>475180.97794833535</v>
      </c>
      <c r="E275" s="468">
        <v>0</v>
      </c>
      <c r="F275" s="468">
        <f aca="true" t="shared" si="54" ref="F275:F338">C275+D275+E275</f>
        <v>8604030.477999618</v>
      </c>
      <c r="G275" s="469">
        <f aca="true" t="shared" si="55" ref="G275:G338">F275/B275</f>
        <v>2804.4427894392497</v>
      </c>
      <c r="H275" s="460">
        <f aca="true" t="shared" si="56" ref="H275:H338">$G$15-G275</f>
        <v>982.6772105607502</v>
      </c>
      <c r="I275" s="380">
        <f aca="true" t="shared" si="57" ref="I275:I338">IF(H275&lt;0,LN(-H275),"")</f>
      </c>
      <c r="J275" s="380">
        <f aca="true" t="shared" si="58" ref="J275:J338">IF(H275&lt;0,30+I275,"")</f>
      </c>
      <c r="K275" s="461">
        <f aca="true" t="shared" si="59" ref="K275:K338">IF(H275&gt;0,H275*0.8,J275*H275/100)</f>
        <v>786.1417684486001</v>
      </c>
      <c r="L275" s="488">
        <f aca="true" t="shared" si="60" ref="L275:L338">K275*B275</f>
        <v>2411882.945600305</v>
      </c>
      <c r="M275" s="488"/>
      <c r="N275" s="478">
        <v>845</v>
      </c>
      <c r="O275" s="389" t="s">
        <v>1094</v>
      </c>
      <c r="P275" s="471">
        <v>0</v>
      </c>
      <c r="Q275" s="472" t="s">
        <v>770</v>
      </c>
      <c r="X275" s="473" t="s">
        <v>313</v>
      </c>
      <c r="Y275" s="474">
        <v>19.5</v>
      </c>
      <c r="Z275" s="475">
        <v>7985519.66</v>
      </c>
      <c r="AA275" s="476">
        <f aca="true" t="shared" si="61" ref="AA275:AA338">100*Z275/Y275</f>
        <v>40951382.87179487</v>
      </c>
      <c r="AB275" s="475">
        <v>475180.97794833535</v>
      </c>
      <c r="AE275" s="489">
        <v>845</v>
      </c>
      <c r="AF275">
        <f aca="true" t="shared" si="62" ref="AF275:AF338">N275-AE275</f>
        <v>0</v>
      </c>
      <c r="AH275" s="477">
        <v>8084.510178728362</v>
      </c>
      <c r="AI275">
        <f aca="true" t="shared" si="63" ref="AI275:AI338">AH275*1000</f>
        <v>8084510.178728362</v>
      </c>
      <c r="AJ275" s="490">
        <v>475.90414000000004</v>
      </c>
      <c r="AK275">
        <f aca="true" t="shared" si="64" ref="AK275:AK338">AJ275*1000</f>
        <v>475904.14</v>
      </c>
    </row>
    <row r="276" spans="1:37" s="1" customFormat="1" ht="15" customHeight="1">
      <c r="A276" s="453" t="s">
        <v>1095</v>
      </c>
      <c r="B276" s="467">
        <v>5269</v>
      </c>
      <c r="C276" s="468">
        <f t="shared" si="52"/>
        <v>12858222.193000002</v>
      </c>
      <c r="D276" s="468">
        <f t="shared" si="53"/>
        <v>875884.9839116079</v>
      </c>
      <c r="E276" s="468">
        <v>0</v>
      </c>
      <c r="F276" s="468">
        <f t="shared" si="54"/>
        <v>13734107.17691161</v>
      </c>
      <c r="G276" s="469">
        <f t="shared" si="55"/>
        <v>2606.587051985502</v>
      </c>
      <c r="H276" s="460">
        <f t="shared" si="56"/>
        <v>1180.5329480144978</v>
      </c>
      <c r="I276" s="380">
        <f t="shared" si="57"/>
      </c>
      <c r="J276" s="380">
        <f t="shared" si="58"/>
      </c>
      <c r="K276" s="461">
        <f t="shared" si="59"/>
        <v>944.4263584115984</v>
      </c>
      <c r="L276" s="488">
        <f t="shared" si="60"/>
        <v>4976182.482470712</v>
      </c>
      <c r="M276" s="488"/>
      <c r="N276" s="478">
        <v>846</v>
      </c>
      <c r="O276" s="479" t="s">
        <v>1096</v>
      </c>
      <c r="P276" s="471">
        <v>0</v>
      </c>
      <c r="Q276" s="472" t="s">
        <v>755</v>
      </c>
      <c r="R276"/>
      <c r="S276"/>
      <c r="T276"/>
      <c r="U276"/>
      <c r="V276"/>
      <c r="W276"/>
      <c r="X276" s="473" t="s">
        <v>314</v>
      </c>
      <c r="Y276" s="474">
        <v>22.5</v>
      </c>
      <c r="Z276" s="475">
        <v>14574811.05</v>
      </c>
      <c r="AA276" s="476">
        <f t="shared" si="61"/>
        <v>64776938</v>
      </c>
      <c r="AB276" s="475">
        <v>875884.9839116079</v>
      </c>
      <c r="AC276"/>
      <c r="AE276" s="489">
        <v>846</v>
      </c>
      <c r="AF276">
        <f t="shared" si="62"/>
        <v>0</v>
      </c>
      <c r="AH276" s="477">
        <v>14351.854436230004</v>
      </c>
      <c r="AI276">
        <f t="shared" si="63"/>
        <v>14351854.436230004</v>
      </c>
      <c r="AJ276" s="490">
        <v>877.2179639999999</v>
      </c>
      <c r="AK276">
        <f t="shared" si="64"/>
        <v>877217.9639999999</v>
      </c>
    </row>
    <row r="277" spans="1:37" ht="15" customHeight="1">
      <c r="A277" s="453" t="s">
        <v>1097</v>
      </c>
      <c r="B277" s="467">
        <v>4571</v>
      </c>
      <c r="C277" s="468">
        <f t="shared" si="52"/>
        <v>10609901.014091954</v>
      </c>
      <c r="D277" s="468">
        <f t="shared" si="53"/>
        <v>931057.9779756059</v>
      </c>
      <c r="E277" s="468">
        <v>0</v>
      </c>
      <c r="F277" s="468">
        <f t="shared" si="54"/>
        <v>11540958.992067559</v>
      </c>
      <c r="G277" s="469">
        <f t="shared" si="55"/>
        <v>2524.821481528672</v>
      </c>
      <c r="H277" s="460">
        <f t="shared" si="56"/>
        <v>1262.298518471328</v>
      </c>
      <c r="I277" s="380">
        <f t="shared" si="57"/>
      </c>
      <c r="J277" s="380">
        <f t="shared" si="58"/>
      </c>
      <c r="K277" s="461">
        <f t="shared" si="59"/>
        <v>1009.8388147770625</v>
      </c>
      <c r="L277" s="488">
        <f t="shared" si="60"/>
        <v>4615973.222345953</v>
      </c>
      <c r="M277" s="488"/>
      <c r="N277" s="478">
        <v>848</v>
      </c>
      <c r="O277" s="389" t="s">
        <v>1097</v>
      </c>
      <c r="P277" s="471">
        <v>0</v>
      </c>
      <c r="Q277" s="472" t="s">
        <v>826</v>
      </c>
      <c r="S277" s="1"/>
      <c r="T277" s="1"/>
      <c r="U277" s="1"/>
      <c r="X277" s="473" t="s">
        <v>315</v>
      </c>
      <c r="Y277" s="474">
        <v>21.75</v>
      </c>
      <c r="Z277" s="475">
        <v>11625458.29</v>
      </c>
      <c r="AA277" s="476">
        <f t="shared" si="61"/>
        <v>53450382.94252873</v>
      </c>
      <c r="AB277" s="475">
        <v>931057.9779756059</v>
      </c>
      <c r="AC277" s="1"/>
      <c r="AE277" s="489">
        <v>848</v>
      </c>
      <c r="AF277">
        <f t="shared" si="62"/>
        <v>0</v>
      </c>
      <c r="AH277" s="477">
        <v>11558.117740086162</v>
      </c>
      <c r="AI277">
        <f t="shared" si="63"/>
        <v>11558117.740086162</v>
      </c>
      <c r="AJ277" s="490">
        <v>932.474924</v>
      </c>
      <c r="AK277">
        <f t="shared" si="64"/>
        <v>932474.924</v>
      </c>
    </row>
    <row r="278" spans="1:37" ht="15" customHeight="1">
      <c r="A278" s="453" t="s">
        <v>1098</v>
      </c>
      <c r="B278" s="467">
        <v>3192</v>
      </c>
      <c r="C278" s="468">
        <f t="shared" si="52"/>
        <v>7324601.465609197</v>
      </c>
      <c r="D278" s="468">
        <f t="shared" si="53"/>
        <v>591316.8266809514</v>
      </c>
      <c r="E278" s="468">
        <v>0</v>
      </c>
      <c r="F278" s="468">
        <f t="shared" si="54"/>
        <v>7915918.292290148</v>
      </c>
      <c r="G278" s="469">
        <f t="shared" si="55"/>
        <v>2479.9242770332544</v>
      </c>
      <c r="H278" s="460">
        <f t="shared" si="56"/>
        <v>1307.1957229667455</v>
      </c>
      <c r="I278" s="380">
        <f t="shared" si="57"/>
      </c>
      <c r="J278" s="380">
        <f t="shared" si="58"/>
      </c>
      <c r="K278" s="461">
        <f t="shared" si="59"/>
        <v>1045.7565783733965</v>
      </c>
      <c r="L278" s="488">
        <f t="shared" si="60"/>
        <v>3338054.9981678813</v>
      </c>
      <c r="M278" s="488"/>
      <c r="N278" s="478">
        <v>849</v>
      </c>
      <c r="O278" s="389" t="s">
        <v>1098</v>
      </c>
      <c r="P278" s="471">
        <v>0</v>
      </c>
      <c r="Q278" s="472" t="s">
        <v>785</v>
      </c>
      <c r="U278" s="53"/>
      <c r="X278" s="473" t="s">
        <v>316</v>
      </c>
      <c r="Y278" s="474">
        <v>21.75</v>
      </c>
      <c r="Z278" s="475">
        <v>8025696.82</v>
      </c>
      <c r="AA278" s="476">
        <f t="shared" si="61"/>
        <v>36899755.494252875</v>
      </c>
      <c r="AB278" s="475">
        <v>591316.8266809514</v>
      </c>
      <c r="AE278" s="489">
        <v>849</v>
      </c>
      <c r="AF278">
        <f t="shared" si="62"/>
        <v>0</v>
      </c>
      <c r="AH278" s="477">
        <v>7909.048250379086</v>
      </c>
      <c r="AI278">
        <f t="shared" si="63"/>
        <v>7909048.2503790865</v>
      </c>
      <c r="AJ278" s="490">
        <v>592.216732</v>
      </c>
      <c r="AK278">
        <f t="shared" si="64"/>
        <v>592216.732</v>
      </c>
    </row>
    <row r="279" spans="1:37" ht="15" customHeight="1">
      <c r="A279" s="453" t="s">
        <v>1099</v>
      </c>
      <c r="B279" s="467">
        <v>2384</v>
      </c>
      <c r="C279" s="468">
        <f t="shared" si="52"/>
        <v>6401212.8478333345</v>
      </c>
      <c r="D279" s="468">
        <f t="shared" si="53"/>
        <v>582797.412093327</v>
      </c>
      <c r="E279" s="468">
        <v>0</v>
      </c>
      <c r="F279" s="468">
        <f t="shared" si="54"/>
        <v>6984010.259926662</v>
      </c>
      <c r="G279" s="469">
        <f t="shared" si="55"/>
        <v>2929.5345050027945</v>
      </c>
      <c r="H279" s="460">
        <f t="shared" si="56"/>
        <v>857.5854949972054</v>
      </c>
      <c r="I279" s="380">
        <f t="shared" si="57"/>
      </c>
      <c r="J279" s="380">
        <f t="shared" si="58"/>
      </c>
      <c r="K279" s="461">
        <f t="shared" si="59"/>
        <v>686.0683959977644</v>
      </c>
      <c r="L279" s="488">
        <f t="shared" si="60"/>
        <v>1635587.0560586702</v>
      </c>
      <c r="M279" s="488"/>
      <c r="N279" s="478">
        <v>850</v>
      </c>
      <c r="O279" s="389" t="s">
        <v>1099</v>
      </c>
      <c r="P279" s="471">
        <v>0</v>
      </c>
      <c r="Q279" s="472" t="s">
        <v>790</v>
      </c>
      <c r="X279" s="473" t="s">
        <v>317</v>
      </c>
      <c r="Y279" s="474">
        <v>21</v>
      </c>
      <c r="Z279" s="475">
        <v>6772063.97</v>
      </c>
      <c r="AA279" s="476">
        <f t="shared" si="61"/>
        <v>32247923.666666668</v>
      </c>
      <c r="AB279" s="475">
        <v>582797.412093327</v>
      </c>
      <c r="AE279" s="489">
        <v>850</v>
      </c>
      <c r="AF279">
        <f t="shared" si="62"/>
        <v>0</v>
      </c>
      <c r="AH279" s="477">
        <v>6741.484768742727</v>
      </c>
      <c r="AI279">
        <f t="shared" si="63"/>
        <v>6741484.768742727</v>
      </c>
      <c r="AJ279" s="490">
        <v>583.684352</v>
      </c>
      <c r="AK279">
        <f t="shared" si="64"/>
        <v>583684.352</v>
      </c>
    </row>
    <row r="280" spans="1:37" ht="15" customHeight="1">
      <c r="A280" s="453" t="s">
        <v>1100</v>
      </c>
      <c r="B280" s="467">
        <v>21928</v>
      </c>
      <c r="C280" s="468">
        <f t="shared" si="52"/>
        <v>69326063.80528572</v>
      </c>
      <c r="D280" s="468">
        <f t="shared" si="53"/>
        <v>3118765.742633142</v>
      </c>
      <c r="E280" s="468">
        <v>0</v>
      </c>
      <c r="F280" s="468">
        <f t="shared" si="54"/>
        <v>72444829.54791887</v>
      </c>
      <c r="G280" s="469">
        <f t="shared" si="55"/>
        <v>3303.7591001422325</v>
      </c>
      <c r="H280" s="460">
        <f t="shared" si="56"/>
        <v>483.36089985776744</v>
      </c>
      <c r="I280" s="380">
        <f t="shared" si="57"/>
      </c>
      <c r="J280" s="380">
        <f t="shared" si="58"/>
      </c>
      <c r="K280" s="461">
        <f t="shared" si="59"/>
        <v>386.68871988621396</v>
      </c>
      <c r="L280" s="488">
        <f t="shared" si="60"/>
        <v>8479310.249664899</v>
      </c>
      <c r="M280" s="488"/>
      <c r="N280" s="478">
        <v>851</v>
      </c>
      <c r="O280" s="479" t="s">
        <v>1101</v>
      </c>
      <c r="P280" s="471">
        <v>0</v>
      </c>
      <c r="Q280" s="472" t="s">
        <v>770</v>
      </c>
      <c r="X280" s="473" t="s">
        <v>318</v>
      </c>
      <c r="Y280" s="474">
        <v>21</v>
      </c>
      <c r="Z280" s="475">
        <v>73342435.26</v>
      </c>
      <c r="AA280" s="476">
        <f t="shared" si="61"/>
        <v>349249691.71428573</v>
      </c>
      <c r="AB280" s="475">
        <v>3118765.742633142</v>
      </c>
      <c r="AE280" s="489">
        <v>851</v>
      </c>
      <c r="AF280">
        <f t="shared" si="62"/>
        <v>0</v>
      </c>
      <c r="AH280" s="477">
        <v>74020.96176850316</v>
      </c>
      <c r="AI280">
        <f t="shared" si="63"/>
        <v>74020961.76850316</v>
      </c>
      <c r="AJ280" s="490">
        <v>3123.512088</v>
      </c>
      <c r="AK280">
        <f t="shared" si="64"/>
        <v>3123512.088</v>
      </c>
    </row>
    <row r="281" spans="1:37" ht="15" customHeight="1">
      <c r="A281" s="453" t="s">
        <v>1102</v>
      </c>
      <c r="B281" s="467">
        <v>189669</v>
      </c>
      <c r="C281" s="468">
        <f t="shared" si="52"/>
        <v>621675631.1378464</v>
      </c>
      <c r="D281" s="468">
        <f t="shared" si="53"/>
        <v>99024031.34768468</v>
      </c>
      <c r="E281" s="468">
        <v>0</v>
      </c>
      <c r="F281" s="468">
        <f t="shared" si="54"/>
        <v>720699662.4855311</v>
      </c>
      <c r="G281" s="469">
        <f t="shared" si="55"/>
        <v>3799.7757276388397</v>
      </c>
      <c r="H281" s="460">
        <f t="shared" si="56"/>
        <v>-12.655727638839835</v>
      </c>
      <c r="I281" s="380">
        <f t="shared" si="57"/>
        <v>2.5381098904745034</v>
      </c>
      <c r="J281" s="380">
        <f t="shared" si="58"/>
        <v>32.5381098904745</v>
      </c>
      <c r="K281" s="461">
        <f t="shared" si="59"/>
        <v>-4.117934566564859</v>
      </c>
      <c r="L281" s="488">
        <f t="shared" si="60"/>
        <v>-781044.5313057903</v>
      </c>
      <c r="M281" s="488"/>
      <c r="N281" s="478">
        <v>853</v>
      </c>
      <c r="O281" s="479" t="s">
        <v>1103</v>
      </c>
      <c r="P281" s="471">
        <v>1</v>
      </c>
      <c r="Q281" s="472" t="s">
        <v>764</v>
      </c>
      <c r="X281" s="473" t="s">
        <v>319</v>
      </c>
      <c r="Y281" s="474">
        <v>19.5</v>
      </c>
      <c r="Z281" s="475">
        <v>610714096.08</v>
      </c>
      <c r="AA281" s="476">
        <f t="shared" si="61"/>
        <v>3131867159.384616</v>
      </c>
      <c r="AB281" s="475">
        <v>99024031.34768468</v>
      </c>
      <c r="AE281" s="489">
        <v>853</v>
      </c>
      <c r="AF281">
        <f t="shared" si="62"/>
        <v>0</v>
      </c>
      <c r="AH281" s="477">
        <v>611616.3325305667</v>
      </c>
      <c r="AI281">
        <f t="shared" si="63"/>
        <v>611616332.5305667</v>
      </c>
      <c r="AJ281" s="490">
        <v>99174.732712</v>
      </c>
      <c r="AK281">
        <f t="shared" si="64"/>
        <v>99174732.712</v>
      </c>
    </row>
    <row r="282" spans="1:37" ht="15" customHeight="1">
      <c r="A282" s="453" t="s">
        <v>1104</v>
      </c>
      <c r="B282" s="467">
        <v>3510</v>
      </c>
      <c r="C282" s="468">
        <f t="shared" si="52"/>
        <v>9098433.664642856</v>
      </c>
      <c r="D282" s="468">
        <f t="shared" si="53"/>
        <v>778162.9717763921</v>
      </c>
      <c r="E282" s="468">
        <v>0</v>
      </c>
      <c r="F282" s="468">
        <f t="shared" si="54"/>
        <v>9876596.636419248</v>
      </c>
      <c r="G282" s="469">
        <f t="shared" si="55"/>
        <v>2813.8451955610394</v>
      </c>
      <c r="H282" s="460">
        <f t="shared" si="56"/>
        <v>973.2748044389605</v>
      </c>
      <c r="I282" s="380">
        <f t="shared" si="57"/>
      </c>
      <c r="J282" s="380">
        <f t="shared" si="58"/>
      </c>
      <c r="K282" s="461">
        <f t="shared" si="59"/>
        <v>778.6198435511684</v>
      </c>
      <c r="L282" s="488">
        <f t="shared" si="60"/>
        <v>2732955.650864601</v>
      </c>
      <c r="M282" s="488"/>
      <c r="N282" s="478">
        <v>854</v>
      </c>
      <c r="O282" s="389" t="s">
        <v>1104</v>
      </c>
      <c r="P282" s="471">
        <v>0</v>
      </c>
      <c r="Q282" s="472" t="s">
        <v>770</v>
      </c>
      <c r="X282" s="473" t="s">
        <v>236</v>
      </c>
      <c r="Y282" s="474">
        <v>21</v>
      </c>
      <c r="Z282" s="475">
        <v>9625546.95</v>
      </c>
      <c r="AA282" s="476">
        <f t="shared" si="61"/>
        <v>45835937.85714285</v>
      </c>
      <c r="AB282" s="475">
        <v>778162.9717763921</v>
      </c>
      <c r="AE282" s="489">
        <v>854</v>
      </c>
      <c r="AF282">
        <f t="shared" si="62"/>
        <v>0</v>
      </c>
      <c r="AH282" s="477">
        <v>9837.929380905816</v>
      </c>
      <c r="AI282">
        <f t="shared" si="63"/>
        <v>9837929.380905816</v>
      </c>
      <c r="AJ282" s="490">
        <v>779.347232</v>
      </c>
      <c r="AK282">
        <f t="shared" si="64"/>
        <v>779347.232</v>
      </c>
    </row>
    <row r="283" spans="1:37" ht="15" customHeight="1">
      <c r="A283" s="453" t="s">
        <v>1105</v>
      </c>
      <c r="B283" s="467">
        <v>2597</v>
      </c>
      <c r="C283" s="468">
        <f t="shared" si="52"/>
        <v>5892195.024068182</v>
      </c>
      <c r="D283" s="468">
        <f t="shared" si="53"/>
        <v>707848.9403512004</v>
      </c>
      <c r="E283" s="468">
        <v>0</v>
      </c>
      <c r="F283" s="468">
        <f t="shared" si="54"/>
        <v>6600043.964419383</v>
      </c>
      <c r="G283" s="469">
        <f t="shared" si="55"/>
        <v>2541.410844982435</v>
      </c>
      <c r="H283" s="460">
        <f t="shared" si="56"/>
        <v>1245.709155017565</v>
      </c>
      <c r="I283" s="380">
        <f t="shared" si="57"/>
      </c>
      <c r="J283" s="380">
        <f t="shared" si="58"/>
      </c>
      <c r="K283" s="461">
        <f t="shared" si="59"/>
        <v>996.5673240140521</v>
      </c>
      <c r="L283" s="488">
        <f t="shared" si="60"/>
        <v>2588085.3404644933</v>
      </c>
      <c r="M283" s="488"/>
      <c r="N283" s="478">
        <v>857</v>
      </c>
      <c r="O283" s="389" t="s">
        <v>1105</v>
      </c>
      <c r="P283" s="471">
        <v>0</v>
      </c>
      <c r="Q283" s="472" t="s">
        <v>819</v>
      </c>
      <c r="X283" s="473" t="s">
        <v>320</v>
      </c>
      <c r="Y283" s="474">
        <v>22</v>
      </c>
      <c r="Z283" s="475">
        <v>6530392.47</v>
      </c>
      <c r="AA283" s="476">
        <f t="shared" si="61"/>
        <v>29683602.136363637</v>
      </c>
      <c r="AB283" s="475">
        <v>707848.9403512004</v>
      </c>
      <c r="AE283" s="489">
        <v>857</v>
      </c>
      <c r="AF283">
        <f t="shared" si="62"/>
        <v>0</v>
      </c>
      <c r="AH283" s="477">
        <v>6476.853838778494</v>
      </c>
      <c r="AI283">
        <f t="shared" si="63"/>
        <v>6476853.838778494</v>
      </c>
      <c r="AJ283" s="490">
        <v>708.926192</v>
      </c>
      <c r="AK283">
        <f t="shared" si="64"/>
        <v>708926.192</v>
      </c>
    </row>
    <row r="284" spans="1:37" ht="15" customHeight="1">
      <c r="A284" s="453" t="s">
        <v>1106</v>
      </c>
      <c r="B284" s="467">
        <v>38646</v>
      </c>
      <c r="C284" s="468">
        <f t="shared" si="52"/>
        <v>164899189.68743593</v>
      </c>
      <c r="D284" s="468">
        <f t="shared" si="53"/>
        <v>7930449.258278175</v>
      </c>
      <c r="E284" s="468">
        <v>0</v>
      </c>
      <c r="F284" s="468">
        <f t="shared" si="54"/>
        <v>172829638.9457141</v>
      </c>
      <c r="G284" s="469">
        <f t="shared" si="55"/>
        <v>4472.122313970763</v>
      </c>
      <c r="H284" s="460">
        <f t="shared" si="56"/>
        <v>-685.0023139707628</v>
      </c>
      <c r="I284" s="380">
        <f t="shared" si="57"/>
        <v>6.529422216316028</v>
      </c>
      <c r="J284" s="380">
        <f t="shared" si="58"/>
        <v>36.52942221631603</v>
      </c>
      <c r="K284" s="461">
        <f t="shared" si="59"/>
        <v>-250.2273874619147</v>
      </c>
      <c r="L284" s="488">
        <f t="shared" si="60"/>
        <v>-9670287.615853155</v>
      </c>
      <c r="M284" s="488"/>
      <c r="N284" s="478">
        <v>858</v>
      </c>
      <c r="O284" s="479" t="s">
        <v>1107</v>
      </c>
      <c r="P284" s="471">
        <v>0</v>
      </c>
      <c r="Q284" s="472" t="s">
        <v>762</v>
      </c>
      <c r="X284" s="473" t="s">
        <v>321</v>
      </c>
      <c r="Y284" s="474">
        <v>19.5</v>
      </c>
      <c r="Z284" s="475">
        <v>161991647.3</v>
      </c>
      <c r="AA284" s="476">
        <f t="shared" si="61"/>
        <v>830726396.4102565</v>
      </c>
      <c r="AB284" s="475">
        <v>7930449.258278175</v>
      </c>
      <c r="AE284" s="489">
        <v>858</v>
      </c>
      <c r="AF284">
        <f t="shared" si="62"/>
        <v>0</v>
      </c>
      <c r="AH284" s="477">
        <v>161716.37168085127</v>
      </c>
      <c r="AI284">
        <f t="shared" si="63"/>
        <v>161716371.68085128</v>
      </c>
      <c r="AJ284" s="490">
        <v>7942.518344</v>
      </c>
      <c r="AK284">
        <f t="shared" si="64"/>
        <v>7942518.3440000005</v>
      </c>
    </row>
    <row r="285" spans="1:37" ht="15" customHeight="1">
      <c r="A285" s="453" t="s">
        <v>1108</v>
      </c>
      <c r="B285" s="467">
        <v>6730</v>
      </c>
      <c r="C285" s="468">
        <f t="shared" si="52"/>
        <v>16351150.809285717</v>
      </c>
      <c r="D285" s="468">
        <f t="shared" si="53"/>
        <v>407967.7994387097</v>
      </c>
      <c r="E285" s="468">
        <v>0</v>
      </c>
      <c r="F285" s="468">
        <f t="shared" si="54"/>
        <v>16759118.608724426</v>
      </c>
      <c r="G285" s="469">
        <f t="shared" si="55"/>
        <v>2490.210788814922</v>
      </c>
      <c r="H285" s="460">
        <f t="shared" si="56"/>
        <v>1296.9092111850778</v>
      </c>
      <c r="I285" s="380">
        <f t="shared" si="57"/>
      </c>
      <c r="J285" s="380">
        <f t="shared" si="58"/>
      </c>
      <c r="K285" s="461">
        <f t="shared" si="59"/>
        <v>1037.5273689480623</v>
      </c>
      <c r="L285" s="488">
        <f t="shared" si="60"/>
        <v>6982559.193020459</v>
      </c>
      <c r="M285" s="488"/>
      <c r="N285" s="478">
        <v>859</v>
      </c>
      <c r="O285" s="389" t="s">
        <v>1108</v>
      </c>
      <c r="P285" s="471">
        <v>0</v>
      </c>
      <c r="Q285" s="472" t="s">
        <v>757</v>
      </c>
      <c r="X285" s="473" t="s">
        <v>322</v>
      </c>
      <c r="Y285" s="474">
        <v>21</v>
      </c>
      <c r="Z285" s="475">
        <v>17298446.7</v>
      </c>
      <c r="AA285" s="476">
        <f t="shared" si="61"/>
        <v>82373555.71428572</v>
      </c>
      <c r="AB285" s="475">
        <v>407967.7994387097</v>
      </c>
      <c r="AE285" s="489">
        <v>859</v>
      </c>
      <c r="AF285">
        <f t="shared" si="62"/>
        <v>0</v>
      </c>
      <c r="AH285" s="477">
        <v>17090.696718504616</v>
      </c>
      <c r="AI285">
        <f t="shared" si="63"/>
        <v>17090696.718504615</v>
      </c>
      <c r="AJ285" s="490">
        <v>408.588672</v>
      </c>
      <c r="AK285">
        <f t="shared" si="64"/>
        <v>408588.67199999996</v>
      </c>
    </row>
    <row r="286" spans="1:37" ht="15" customHeight="1">
      <c r="A286" s="453" t="s">
        <v>1109</v>
      </c>
      <c r="B286" s="467">
        <v>13237</v>
      </c>
      <c r="C286" s="468">
        <f t="shared" si="52"/>
        <v>42397817.48890476</v>
      </c>
      <c r="D286" s="468">
        <f t="shared" si="53"/>
        <v>2360834.9961092193</v>
      </c>
      <c r="E286" s="468">
        <v>0</v>
      </c>
      <c r="F286" s="468">
        <f t="shared" si="54"/>
        <v>44758652.48501398</v>
      </c>
      <c r="G286" s="469">
        <f t="shared" si="55"/>
        <v>3381.329038680515</v>
      </c>
      <c r="H286" s="460">
        <f t="shared" si="56"/>
        <v>405.7909613194847</v>
      </c>
      <c r="I286" s="380">
        <f t="shared" si="57"/>
      </c>
      <c r="J286" s="380">
        <f t="shared" si="58"/>
      </c>
      <c r="K286" s="461">
        <f t="shared" si="59"/>
        <v>324.6327690555878</v>
      </c>
      <c r="L286" s="488">
        <f t="shared" si="60"/>
        <v>4297163.963988815</v>
      </c>
      <c r="M286" s="488"/>
      <c r="N286" s="478">
        <v>886</v>
      </c>
      <c r="O286" s="479" t="s">
        <v>1110</v>
      </c>
      <c r="P286" s="471">
        <v>0</v>
      </c>
      <c r="Q286" s="472" t="s">
        <v>774</v>
      </c>
      <c r="X286" s="473" t="s">
        <v>323</v>
      </c>
      <c r="Y286" s="474">
        <v>21</v>
      </c>
      <c r="Z286" s="475">
        <v>44854114.22</v>
      </c>
      <c r="AA286" s="476">
        <f t="shared" si="61"/>
        <v>213591020.0952381</v>
      </c>
      <c r="AB286" s="475">
        <v>2360834.9961092193</v>
      </c>
      <c r="AE286" s="489">
        <v>886</v>
      </c>
      <c r="AF286">
        <f t="shared" si="62"/>
        <v>0</v>
      </c>
      <c r="AH286" s="477">
        <v>44856.44769333414</v>
      </c>
      <c r="AI286">
        <f t="shared" si="63"/>
        <v>44856447.69333414</v>
      </c>
      <c r="AJ286" s="490">
        <v>2364.4278719999998</v>
      </c>
      <c r="AK286">
        <f t="shared" si="64"/>
        <v>2364427.872</v>
      </c>
    </row>
    <row r="287" spans="1:37" ht="15" customHeight="1">
      <c r="A287" s="453" t="s">
        <v>1111</v>
      </c>
      <c r="B287" s="467">
        <v>4829</v>
      </c>
      <c r="C287" s="468">
        <f t="shared" si="52"/>
        <v>11964862.808091955</v>
      </c>
      <c r="D287" s="468">
        <f t="shared" si="53"/>
        <v>812101.5338129217</v>
      </c>
      <c r="E287" s="468">
        <v>0</v>
      </c>
      <c r="F287" s="468">
        <f t="shared" si="54"/>
        <v>12776964.341904877</v>
      </c>
      <c r="G287" s="469">
        <f t="shared" si="55"/>
        <v>2645.8820339417844</v>
      </c>
      <c r="H287" s="460">
        <f t="shared" si="56"/>
        <v>1141.2379660582155</v>
      </c>
      <c r="I287" s="380">
        <f t="shared" si="57"/>
      </c>
      <c r="J287" s="380">
        <f t="shared" si="58"/>
      </c>
      <c r="K287" s="461">
        <f t="shared" si="59"/>
        <v>912.9903728465724</v>
      </c>
      <c r="L287" s="488">
        <f t="shared" si="60"/>
        <v>4408830.510476098</v>
      </c>
      <c r="M287" s="488"/>
      <c r="N287" s="478">
        <v>887</v>
      </c>
      <c r="O287" s="389" t="s">
        <v>1111</v>
      </c>
      <c r="P287" s="471">
        <v>0</v>
      </c>
      <c r="Q287" s="472" t="s">
        <v>765</v>
      </c>
      <c r="X287" s="473" t="s">
        <v>324</v>
      </c>
      <c r="Y287" s="474">
        <v>21.75</v>
      </c>
      <c r="Z287" s="475">
        <v>13110114.16</v>
      </c>
      <c r="AA287" s="476">
        <f t="shared" si="61"/>
        <v>60276386.94252873</v>
      </c>
      <c r="AB287" s="475">
        <v>812101.5338129217</v>
      </c>
      <c r="AE287" s="489">
        <v>887</v>
      </c>
      <c r="AF287">
        <f t="shared" si="62"/>
        <v>0</v>
      </c>
      <c r="AH287" s="477">
        <v>13200.675778354469</v>
      </c>
      <c r="AI287">
        <f t="shared" si="63"/>
        <v>13200675.77835447</v>
      </c>
      <c r="AJ287" s="490">
        <v>813.3374440000001</v>
      </c>
      <c r="AK287">
        <f t="shared" si="64"/>
        <v>813337.4440000001</v>
      </c>
    </row>
    <row r="288" spans="1:37" ht="15" customHeight="1">
      <c r="A288" s="453" t="s">
        <v>1112</v>
      </c>
      <c r="B288" s="467">
        <v>2768</v>
      </c>
      <c r="C288" s="468">
        <f t="shared" si="52"/>
        <v>6412390.439317074</v>
      </c>
      <c r="D288" s="468">
        <f t="shared" si="53"/>
        <v>846510.6956593262</v>
      </c>
      <c r="E288" s="468">
        <v>0</v>
      </c>
      <c r="F288" s="468">
        <f t="shared" si="54"/>
        <v>7258901.1349764</v>
      </c>
      <c r="G288" s="469">
        <f t="shared" si="55"/>
        <v>2622.4353811330925</v>
      </c>
      <c r="H288" s="460">
        <f t="shared" si="56"/>
        <v>1164.6846188669074</v>
      </c>
      <c r="I288" s="380">
        <f t="shared" si="57"/>
      </c>
      <c r="J288" s="380">
        <f t="shared" si="58"/>
      </c>
      <c r="K288" s="461">
        <f t="shared" si="59"/>
        <v>931.747695093526</v>
      </c>
      <c r="L288" s="488">
        <f t="shared" si="60"/>
        <v>2579077.62001888</v>
      </c>
      <c r="M288" s="488"/>
      <c r="N288" s="478">
        <v>889</v>
      </c>
      <c r="O288" s="389" t="s">
        <v>1112</v>
      </c>
      <c r="P288" s="471">
        <v>0</v>
      </c>
      <c r="Q288" s="472" t="s">
        <v>757</v>
      </c>
      <c r="X288" s="473" t="s">
        <v>325</v>
      </c>
      <c r="Y288" s="474">
        <v>20.5</v>
      </c>
      <c r="Z288" s="475">
        <v>6622367.96</v>
      </c>
      <c r="AA288" s="476">
        <f t="shared" si="61"/>
        <v>32304233.951219514</v>
      </c>
      <c r="AB288" s="475">
        <v>846510.6956593262</v>
      </c>
      <c r="AE288" s="489">
        <v>889</v>
      </c>
      <c r="AF288">
        <f t="shared" si="62"/>
        <v>0</v>
      </c>
      <c r="AH288" s="477">
        <v>6679.4421112376</v>
      </c>
      <c r="AI288">
        <f t="shared" si="63"/>
        <v>6679442.1112376</v>
      </c>
      <c r="AJ288" s="490">
        <v>847.7989719999999</v>
      </c>
      <c r="AK288">
        <f t="shared" si="64"/>
        <v>847798.972</v>
      </c>
    </row>
    <row r="289" spans="1:37" ht="15" customHeight="1">
      <c r="A289" s="453" t="s">
        <v>1113</v>
      </c>
      <c r="B289" s="467">
        <v>1242</v>
      </c>
      <c r="C289" s="468">
        <f t="shared" si="52"/>
        <v>3514451.177285714</v>
      </c>
      <c r="D289" s="468">
        <f t="shared" si="53"/>
        <v>149025.27541318585</v>
      </c>
      <c r="E289" s="468">
        <v>0</v>
      </c>
      <c r="F289" s="468">
        <f t="shared" si="54"/>
        <v>3663476.4526989</v>
      </c>
      <c r="G289" s="469">
        <f t="shared" si="55"/>
        <v>2949.658979628744</v>
      </c>
      <c r="H289" s="460">
        <f t="shared" si="56"/>
        <v>837.4610203712559</v>
      </c>
      <c r="I289" s="380">
        <f t="shared" si="57"/>
      </c>
      <c r="J289" s="380">
        <f t="shared" si="58"/>
      </c>
      <c r="K289" s="461">
        <f t="shared" si="59"/>
        <v>669.9688162970048</v>
      </c>
      <c r="L289" s="488">
        <f t="shared" si="60"/>
        <v>832101.26984088</v>
      </c>
      <c r="M289" s="488"/>
      <c r="N289" s="478">
        <v>890</v>
      </c>
      <c r="O289" s="389" t="s">
        <v>1113</v>
      </c>
      <c r="P289" s="471">
        <v>0</v>
      </c>
      <c r="Q289" s="472" t="s">
        <v>770</v>
      </c>
      <c r="X289" s="473" t="s">
        <v>326</v>
      </c>
      <c r="Y289" s="474">
        <v>21</v>
      </c>
      <c r="Z289" s="475">
        <v>3718059.18</v>
      </c>
      <c r="AA289" s="476">
        <f t="shared" si="61"/>
        <v>17705043.714285713</v>
      </c>
      <c r="AB289" s="475">
        <v>149025.27541318585</v>
      </c>
      <c r="AE289" s="489">
        <v>890</v>
      </c>
      <c r="AF289">
        <f t="shared" si="62"/>
        <v>0</v>
      </c>
      <c r="AH289" s="477">
        <v>3807.89628314965</v>
      </c>
      <c r="AI289">
        <f t="shared" si="63"/>
        <v>3807896.2831496503</v>
      </c>
      <c r="AJ289" s="490">
        <v>149.252072</v>
      </c>
      <c r="AK289">
        <f t="shared" si="64"/>
        <v>149252.072</v>
      </c>
    </row>
    <row r="290" spans="1:37" s="1" customFormat="1" ht="15" customHeight="1">
      <c r="A290" s="453" t="s">
        <v>1114</v>
      </c>
      <c r="B290" s="467">
        <v>3747</v>
      </c>
      <c r="C290" s="468">
        <f t="shared" si="52"/>
        <v>9249576.78304878</v>
      </c>
      <c r="D290" s="468">
        <f t="shared" si="53"/>
        <v>530742.5406626888</v>
      </c>
      <c r="E290" s="468">
        <v>0</v>
      </c>
      <c r="F290" s="468">
        <f t="shared" si="54"/>
        <v>9780319.32371147</v>
      </c>
      <c r="G290" s="469">
        <f t="shared" si="55"/>
        <v>2610.1732916230235</v>
      </c>
      <c r="H290" s="460">
        <f t="shared" si="56"/>
        <v>1176.9467083769764</v>
      </c>
      <c r="I290" s="380">
        <f t="shared" si="57"/>
      </c>
      <c r="J290" s="380">
        <f t="shared" si="58"/>
      </c>
      <c r="K290" s="461">
        <f t="shared" si="59"/>
        <v>941.5573667015811</v>
      </c>
      <c r="L290" s="488">
        <f t="shared" si="60"/>
        <v>3528015.4530308247</v>
      </c>
      <c r="M290" s="488"/>
      <c r="N290" s="478">
        <v>892</v>
      </c>
      <c r="O290" s="389" t="s">
        <v>1114</v>
      </c>
      <c r="P290" s="471">
        <v>0</v>
      </c>
      <c r="Q290" s="472" t="s">
        <v>790</v>
      </c>
      <c r="R290"/>
      <c r="S290"/>
      <c r="T290"/>
      <c r="U290"/>
      <c r="V290"/>
      <c r="W290"/>
      <c r="X290" s="473" t="s">
        <v>327</v>
      </c>
      <c r="Y290" s="474">
        <v>20.5</v>
      </c>
      <c r="Z290" s="475">
        <v>9552459.65</v>
      </c>
      <c r="AA290" s="476">
        <f t="shared" si="61"/>
        <v>46597364.146341465</v>
      </c>
      <c r="AB290" s="475">
        <v>530742.5406626888</v>
      </c>
      <c r="AC290"/>
      <c r="AD290"/>
      <c r="AE290" s="489">
        <v>892</v>
      </c>
      <c r="AF290">
        <f t="shared" si="62"/>
        <v>0</v>
      </c>
      <c r="AG290"/>
      <c r="AH290" s="477">
        <v>9565.720626143553</v>
      </c>
      <c r="AI290">
        <f t="shared" si="63"/>
        <v>9565720.626143552</v>
      </c>
      <c r="AJ290" s="490">
        <v>531.5502600000001</v>
      </c>
      <c r="AK290">
        <f t="shared" si="64"/>
        <v>531550.2600000001</v>
      </c>
    </row>
    <row r="291" spans="1:37" ht="15" customHeight="1">
      <c r="A291" s="453" t="s">
        <v>1115</v>
      </c>
      <c r="B291" s="467">
        <v>7521</v>
      </c>
      <c r="C291" s="468">
        <f t="shared" si="52"/>
        <v>20448135.108517647</v>
      </c>
      <c r="D291" s="468">
        <f t="shared" si="53"/>
        <v>2727038.2356360517</v>
      </c>
      <c r="E291" s="468">
        <v>0</v>
      </c>
      <c r="F291" s="468">
        <f t="shared" si="54"/>
        <v>23175173.3441537</v>
      </c>
      <c r="G291" s="469">
        <f t="shared" si="55"/>
        <v>3081.3952059770904</v>
      </c>
      <c r="H291" s="460">
        <f t="shared" si="56"/>
        <v>705.7247940229095</v>
      </c>
      <c r="I291" s="380">
        <f t="shared" si="57"/>
      </c>
      <c r="J291" s="380">
        <f t="shared" si="58"/>
      </c>
      <c r="K291" s="461">
        <f t="shared" si="59"/>
        <v>564.5798352183276</v>
      </c>
      <c r="L291" s="488">
        <f t="shared" si="60"/>
        <v>4246204.940677042</v>
      </c>
      <c r="M291" s="488"/>
      <c r="N291" s="478">
        <v>893</v>
      </c>
      <c r="O291" s="479" t="s">
        <v>1116</v>
      </c>
      <c r="P291" s="471">
        <v>3</v>
      </c>
      <c r="Q291" s="472" t="s">
        <v>835</v>
      </c>
      <c r="X291" s="473" t="s">
        <v>328</v>
      </c>
      <c r="Y291" s="474">
        <v>21.25</v>
      </c>
      <c r="Z291" s="475">
        <v>21890320.96</v>
      </c>
      <c r="AA291" s="476">
        <f t="shared" si="61"/>
        <v>103013275.10588235</v>
      </c>
      <c r="AB291" s="475">
        <v>2727038.2356360517</v>
      </c>
      <c r="AD291" s="1"/>
      <c r="AE291" s="489">
        <v>893</v>
      </c>
      <c r="AF291">
        <f t="shared" si="62"/>
        <v>0</v>
      </c>
      <c r="AG291" s="1"/>
      <c r="AH291" s="477">
        <v>21623.269529414258</v>
      </c>
      <c r="AI291">
        <f t="shared" si="63"/>
        <v>21623269.52941426</v>
      </c>
      <c r="AJ291" s="490">
        <v>2731.188424</v>
      </c>
      <c r="AK291">
        <f t="shared" si="64"/>
        <v>2731188.424</v>
      </c>
    </row>
    <row r="292" spans="1:37" ht="15" customHeight="1">
      <c r="A292" s="453" t="s">
        <v>1117</v>
      </c>
      <c r="B292" s="467">
        <v>15752</v>
      </c>
      <c r="C292" s="468">
        <f t="shared" si="52"/>
        <v>53041728.56474699</v>
      </c>
      <c r="D292" s="468">
        <f t="shared" si="53"/>
        <v>3863614.302499783</v>
      </c>
      <c r="E292" s="468">
        <v>0</v>
      </c>
      <c r="F292" s="468">
        <f t="shared" si="54"/>
        <v>56905342.86724678</v>
      </c>
      <c r="G292" s="469">
        <f t="shared" si="55"/>
        <v>3612.578902186819</v>
      </c>
      <c r="H292" s="460">
        <f t="shared" si="56"/>
        <v>174.54109781318084</v>
      </c>
      <c r="I292" s="380">
        <f t="shared" si="57"/>
      </c>
      <c r="J292" s="380">
        <f t="shared" si="58"/>
      </c>
      <c r="K292" s="461">
        <f t="shared" si="59"/>
        <v>139.63287825054468</v>
      </c>
      <c r="L292" s="488">
        <f t="shared" si="60"/>
        <v>2199497.0982025797</v>
      </c>
      <c r="M292" s="488"/>
      <c r="N292" s="478">
        <v>895</v>
      </c>
      <c r="O292" s="479" t="s">
        <v>1118</v>
      </c>
      <c r="P292" s="471">
        <v>0</v>
      </c>
      <c r="Q292" s="472" t="s">
        <v>764</v>
      </c>
      <c r="S292" s="1"/>
      <c r="T292" s="1"/>
      <c r="U292" s="1"/>
      <c r="X292" s="473" t="s">
        <v>329</v>
      </c>
      <c r="Y292" s="474">
        <v>20.75</v>
      </c>
      <c r="Z292" s="475">
        <v>55446643.21</v>
      </c>
      <c r="AA292" s="476">
        <f t="shared" si="61"/>
        <v>267212738.36144578</v>
      </c>
      <c r="AB292" s="475">
        <v>3863614.302499783</v>
      </c>
      <c r="AC292" s="1"/>
      <c r="AE292" s="489">
        <v>895</v>
      </c>
      <c r="AF292">
        <f t="shared" si="62"/>
        <v>0</v>
      </c>
      <c r="AH292" s="477">
        <v>55605.06588200657</v>
      </c>
      <c r="AI292">
        <f t="shared" si="63"/>
        <v>55605065.88200657</v>
      </c>
      <c r="AJ292" s="490">
        <v>3869.494208</v>
      </c>
      <c r="AK292">
        <f t="shared" si="64"/>
        <v>3869494.208</v>
      </c>
    </row>
    <row r="293" spans="1:37" ht="15" customHeight="1">
      <c r="A293" s="453" t="s">
        <v>1119</v>
      </c>
      <c r="B293" s="467">
        <v>67392</v>
      </c>
      <c r="C293" s="468">
        <f t="shared" si="52"/>
        <v>226071286.8641</v>
      </c>
      <c r="D293" s="468">
        <f t="shared" si="53"/>
        <v>24643353.431895714</v>
      </c>
      <c r="E293" s="468">
        <v>0</v>
      </c>
      <c r="F293" s="468">
        <f t="shared" si="54"/>
        <v>250714640.2959957</v>
      </c>
      <c r="G293" s="469">
        <f t="shared" si="55"/>
        <v>3720.2433567188345</v>
      </c>
      <c r="H293" s="460">
        <f t="shared" si="56"/>
        <v>66.87664328116534</v>
      </c>
      <c r="I293" s="380">
        <f t="shared" si="57"/>
      </c>
      <c r="J293" s="380">
        <f t="shared" si="58"/>
      </c>
      <c r="K293" s="461">
        <f t="shared" si="59"/>
        <v>53.50131462493228</v>
      </c>
      <c r="L293" s="488">
        <f t="shared" si="60"/>
        <v>3605560.595203436</v>
      </c>
      <c r="M293" s="488"/>
      <c r="N293" s="478">
        <v>905</v>
      </c>
      <c r="O293" s="479" t="s">
        <v>1120</v>
      </c>
      <c r="P293" s="471">
        <v>1</v>
      </c>
      <c r="Q293" s="472" t="s">
        <v>835</v>
      </c>
      <c r="X293" s="473" t="s">
        <v>331</v>
      </c>
      <c r="Y293" s="474">
        <v>20</v>
      </c>
      <c r="Z293" s="475">
        <v>227779634.12</v>
      </c>
      <c r="AA293" s="476">
        <f t="shared" si="61"/>
        <v>1138898170.6</v>
      </c>
      <c r="AB293" s="475">
        <v>24643353.431895714</v>
      </c>
      <c r="AE293" s="489">
        <v>905</v>
      </c>
      <c r="AF293">
        <f t="shared" si="62"/>
        <v>0</v>
      </c>
      <c r="AH293" s="477">
        <v>227115.1851212672</v>
      </c>
      <c r="AI293">
        <f t="shared" si="63"/>
        <v>227115185.1212672</v>
      </c>
      <c r="AJ293" s="490">
        <v>24680.857328000002</v>
      </c>
      <c r="AK293">
        <f t="shared" si="64"/>
        <v>24680857.328</v>
      </c>
    </row>
    <row r="294" spans="1:37" ht="15" customHeight="1">
      <c r="A294" s="453" t="s">
        <v>1121</v>
      </c>
      <c r="B294" s="467">
        <v>21136</v>
      </c>
      <c r="C294" s="468">
        <f t="shared" si="52"/>
        <v>70040844.6427342</v>
      </c>
      <c r="D294" s="468">
        <f t="shared" si="53"/>
        <v>4421109.51316796</v>
      </c>
      <c r="E294" s="468">
        <v>0</v>
      </c>
      <c r="F294" s="468">
        <f t="shared" si="54"/>
        <v>74461954.15590216</v>
      </c>
      <c r="G294" s="469">
        <f t="shared" si="55"/>
        <v>3522.991774976446</v>
      </c>
      <c r="H294" s="460">
        <f t="shared" si="56"/>
        <v>264.128225023554</v>
      </c>
      <c r="I294" s="380">
        <f t="shared" si="57"/>
      </c>
      <c r="J294" s="380">
        <f t="shared" si="58"/>
      </c>
      <c r="K294" s="461">
        <f t="shared" si="59"/>
        <v>211.30258001884323</v>
      </c>
      <c r="L294" s="488">
        <f t="shared" si="60"/>
        <v>4466091.33127827</v>
      </c>
      <c r="M294" s="488"/>
      <c r="N294" s="478">
        <v>908</v>
      </c>
      <c r="O294" s="389" t="s">
        <v>1121</v>
      </c>
      <c r="P294" s="471">
        <v>0</v>
      </c>
      <c r="Q294" s="472" t="s">
        <v>765</v>
      </c>
      <c r="X294" s="473" t="s">
        <v>332</v>
      </c>
      <c r="Y294" s="474">
        <v>19.75</v>
      </c>
      <c r="Z294" s="475">
        <v>69687994.04</v>
      </c>
      <c r="AA294" s="476">
        <f t="shared" si="61"/>
        <v>352850602.7341773</v>
      </c>
      <c r="AB294" s="475">
        <v>4421109.51316796</v>
      </c>
      <c r="AE294" s="489">
        <v>908</v>
      </c>
      <c r="AF294">
        <f t="shared" si="62"/>
        <v>0</v>
      </c>
      <c r="AH294" s="477">
        <v>70065.66859290226</v>
      </c>
      <c r="AI294">
        <f t="shared" si="63"/>
        <v>70065668.59290226</v>
      </c>
      <c r="AJ294" s="490">
        <v>4427.837852</v>
      </c>
      <c r="AK294">
        <f t="shared" si="64"/>
        <v>4427837.852</v>
      </c>
    </row>
    <row r="295" spans="1:37" ht="15" customHeight="1">
      <c r="A295" s="453" t="s">
        <v>1122</v>
      </c>
      <c r="B295" s="467">
        <v>2218</v>
      </c>
      <c r="C295" s="468">
        <f t="shared" si="52"/>
        <v>4907937.019476191</v>
      </c>
      <c r="D295" s="468">
        <f t="shared" si="53"/>
        <v>821289.9622507232</v>
      </c>
      <c r="E295" s="468">
        <v>0</v>
      </c>
      <c r="F295" s="468">
        <f t="shared" si="54"/>
        <v>5729226.981726915</v>
      </c>
      <c r="G295" s="469">
        <f t="shared" si="55"/>
        <v>2583.0599556929283</v>
      </c>
      <c r="H295" s="460">
        <f t="shared" si="56"/>
        <v>1204.0600443070716</v>
      </c>
      <c r="I295" s="380">
        <f t="shared" si="57"/>
      </c>
      <c r="J295" s="380">
        <f t="shared" si="58"/>
      </c>
      <c r="K295" s="461">
        <f t="shared" si="59"/>
        <v>963.2480354456574</v>
      </c>
      <c r="L295" s="488">
        <f t="shared" si="60"/>
        <v>2136484.142618468</v>
      </c>
      <c r="M295" s="488"/>
      <c r="N295" s="478">
        <v>911</v>
      </c>
      <c r="O295" s="389" t="s">
        <v>1122</v>
      </c>
      <c r="P295" s="471">
        <v>0</v>
      </c>
      <c r="Q295" s="472" t="s">
        <v>826</v>
      </c>
      <c r="X295" s="473" t="s">
        <v>333</v>
      </c>
      <c r="Y295" s="474">
        <v>21</v>
      </c>
      <c r="Z295" s="475">
        <v>5192275.94</v>
      </c>
      <c r="AA295" s="476">
        <f t="shared" si="61"/>
        <v>24725123.523809526</v>
      </c>
      <c r="AB295" s="475">
        <v>821289.9622507232</v>
      </c>
      <c r="AE295" s="489">
        <v>911</v>
      </c>
      <c r="AF295">
        <f t="shared" si="62"/>
        <v>0</v>
      </c>
      <c r="AH295" s="477">
        <v>5151.989709398979</v>
      </c>
      <c r="AI295">
        <f t="shared" si="63"/>
        <v>5151989.709398979</v>
      </c>
      <c r="AJ295" s="490">
        <v>822.5398559999999</v>
      </c>
      <c r="AK295">
        <f t="shared" si="64"/>
        <v>822539.8559999999</v>
      </c>
    </row>
    <row r="296" spans="1:37" ht="15" customHeight="1">
      <c r="A296" s="453" t="s">
        <v>1123</v>
      </c>
      <c r="B296" s="467">
        <v>21155</v>
      </c>
      <c r="C296" s="468">
        <f t="shared" si="52"/>
        <v>65378802.878261894</v>
      </c>
      <c r="D296" s="468">
        <f t="shared" si="53"/>
        <v>3941802.011238579</v>
      </c>
      <c r="E296" s="468">
        <v>0</v>
      </c>
      <c r="F296" s="468">
        <f t="shared" si="54"/>
        <v>69320604.88950047</v>
      </c>
      <c r="G296" s="469">
        <f t="shared" si="55"/>
        <v>3276.7953150319295</v>
      </c>
      <c r="H296" s="460">
        <f t="shared" si="56"/>
        <v>510.3246849680704</v>
      </c>
      <c r="I296" s="380">
        <f t="shared" si="57"/>
      </c>
      <c r="J296" s="380">
        <f t="shared" si="58"/>
      </c>
      <c r="K296" s="461">
        <f t="shared" si="59"/>
        <v>408.25974797445633</v>
      </c>
      <c r="L296" s="488">
        <f t="shared" si="60"/>
        <v>8636734.968399623</v>
      </c>
      <c r="M296" s="488"/>
      <c r="N296" s="478">
        <v>915</v>
      </c>
      <c r="O296" s="389" t="s">
        <v>1123</v>
      </c>
      <c r="P296" s="471">
        <v>0</v>
      </c>
      <c r="Q296" s="472" t="s">
        <v>819</v>
      </c>
      <c r="X296" s="473" t="s">
        <v>335</v>
      </c>
      <c r="Y296" s="474">
        <v>21</v>
      </c>
      <c r="Z296" s="475">
        <v>69166491.71</v>
      </c>
      <c r="AA296" s="476">
        <f t="shared" si="61"/>
        <v>329364246.23809516</v>
      </c>
      <c r="AB296" s="475">
        <v>3941802.011238579</v>
      </c>
      <c r="AE296" s="489">
        <v>915</v>
      </c>
      <c r="AF296">
        <f t="shared" si="62"/>
        <v>0</v>
      </c>
      <c r="AH296" s="477">
        <v>69689.0921368445</v>
      </c>
      <c r="AI296">
        <f t="shared" si="63"/>
        <v>69689092.1368445</v>
      </c>
      <c r="AJ296" s="490">
        <v>3947.8009080000006</v>
      </c>
      <c r="AK296">
        <f t="shared" si="64"/>
        <v>3947800.9080000008</v>
      </c>
    </row>
    <row r="297" spans="1:37" ht="15" customHeight="1">
      <c r="A297" s="453" t="s">
        <v>1124</v>
      </c>
      <c r="B297" s="467">
        <v>2316</v>
      </c>
      <c r="C297" s="468">
        <f t="shared" si="52"/>
        <v>6406505.254089888</v>
      </c>
      <c r="D297" s="468">
        <f t="shared" si="53"/>
        <v>463579.4818775292</v>
      </c>
      <c r="E297" s="468">
        <v>0</v>
      </c>
      <c r="F297" s="468">
        <f t="shared" si="54"/>
        <v>6870084.735967417</v>
      </c>
      <c r="G297" s="469">
        <f t="shared" si="55"/>
        <v>2966.357830728591</v>
      </c>
      <c r="H297" s="460">
        <f t="shared" si="56"/>
        <v>820.7621692714088</v>
      </c>
      <c r="I297" s="380">
        <f t="shared" si="57"/>
      </c>
      <c r="J297" s="380">
        <f t="shared" si="58"/>
      </c>
      <c r="K297" s="461">
        <f t="shared" si="59"/>
        <v>656.609735417127</v>
      </c>
      <c r="L297" s="488">
        <f t="shared" si="60"/>
        <v>1520708.147226066</v>
      </c>
      <c r="M297" s="488"/>
      <c r="N297" s="478">
        <v>918</v>
      </c>
      <c r="O297" s="389" t="s">
        <v>1124</v>
      </c>
      <c r="P297" s="471">
        <v>0</v>
      </c>
      <c r="Q297" s="472" t="s">
        <v>764</v>
      </c>
      <c r="X297" s="473" t="s">
        <v>336</v>
      </c>
      <c r="Y297" s="474">
        <v>22.25</v>
      </c>
      <c r="Z297" s="475">
        <v>7181095.31</v>
      </c>
      <c r="AA297" s="476">
        <f t="shared" si="61"/>
        <v>32274585.662921347</v>
      </c>
      <c r="AB297" s="475">
        <v>463579.4818775292</v>
      </c>
      <c r="AE297" s="489">
        <v>918</v>
      </c>
      <c r="AF297">
        <f t="shared" si="62"/>
        <v>0</v>
      </c>
      <c r="AH297" s="477">
        <v>7183.512241155464</v>
      </c>
      <c r="AI297">
        <f t="shared" si="63"/>
        <v>7183512.241155464</v>
      </c>
      <c r="AJ297" s="490">
        <v>464.28498799999994</v>
      </c>
      <c r="AK297">
        <f t="shared" si="64"/>
        <v>464284.98799999995</v>
      </c>
    </row>
    <row r="298" spans="1:37" ht="15" customHeight="1">
      <c r="A298" s="453" t="s">
        <v>1125</v>
      </c>
      <c r="B298" s="467">
        <v>2094</v>
      </c>
      <c r="C298" s="468">
        <f t="shared" si="52"/>
        <v>4438048.107883721</v>
      </c>
      <c r="D298" s="468">
        <f t="shared" si="53"/>
        <v>562355.8853697723</v>
      </c>
      <c r="E298" s="468">
        <v>0</v>
      </c>
      <c r="F298" s="468">
        <f t="shared" si="54"/>
        <v>5000403.993253493</v>
      </c>
      <c r="G298" s="469">
        <f t="shared" si="55"/>
        <v>2387.967523043693</v>
      </c>
      <c r="H298" s="460">
        <f t="shared" si="56"/>
        <v>1399.152476956307</v>
      </c>
      <c r="I298" s="380">
        <f t="shared" si="57"/>
      </c>
      <c r="J298" s="380">
        <f t="shared" si="58"/>
      </c>
      <c r="K298" s="461">
        <f t="shared" si="59"/>
        <v>1119.3219815650457</v>
      </c>
      <c r="L298" s="488">
        <f t="shared" si="60"/>
        <v>2343860.2293972056</v>
      </c>
      <c r="M298" s="488"/>
      <c r="N298" s="478">
        <v>921</v>
      </c>
      <c r="O298" s="389" t="s">
        <v>1125</v>
      </c>
      <c r="P298" s="471">
        <v>0</v>
      </c>
      <c r="Q298" s="472" t="s">
        <v>819</v>
      </c>
      <c r="X298" s="473" t="s">
        <v>337</v>
      </c>
      <c r="Y298" s="474">
        <v>21.5</v>
      </c>
      <c r="Z298" s="475">
        <v>4806953.87</v>
      </c>
      <c r="AA298" s="476">
        <f t="shared" si="61"/>
        <v>22357924.976744186</v>
      </c>
      <c r="AB298" s="475">
        <v>562355.8853697723</v>
      </c>
      <c r="AE298" s="489">
        <v>921</v>
      </c>
      <c r="AF298">
        <f t="shared" si="62"/>
        <v>0</v>
      </c>
      <c r="AH298" s="477">
        <v>4902.528751654883</v>
      </c>
      <c r="AI298">
        <f t="shared" si="63"/>
        <v>4902528.751654883</v>
      </c>
      <c r="AJ298" s="490">
        <v>563.211716</v>
      </c>
      <c r="AK298">
        <f t="shared" si="64"/>
        <v>563211.716</v>
      </c>
    </row>
    <row r="299" spans="1:37" ht="15" customHeight="1">
      <c r="A299" s="453" t="s">
        <v>1126</v>
      </c>
      <c r="B299" s="467">
        <v>4460</v>
      </c>
      <c r="C299" s="468">
        <f t="shared" si="52"/>
        <v>13864198.274906976</v>
      </c>
      <c r="D299" s="468">
        <f t="shared" si="53"/>
        <v>514327.1107569233</v>
      </c>
      <c r="E299" s="468">
        <v>0</v>
      </c>
      <c r="F299" s="468">
        <f t="shared" si="54"/>
        <v>14378525.385663899</v>
      </c>
      <c r="G299" s="469">
        <f t="shared" si="55"/>
        <v>3223.8846156197083</v>
      </c>
      <c r="H299" s="460">
        <f t="shared" si="56"/>
        <v>563.2353843802916</v>
      </c>
      <c r="I299" s="380">
        <f t="shared" si="57"/>
      </c>
      <c r="J299" s="380">
        <f t="shared" si="58"/>
      </c>
      <c r="K299" s="461">
        <f t="shared" si="59"/>
        <v>450.58830750423334</v>
      </c>
      <c r="L299" s="488">
        <f t="shared" si="60"/>
        <v>2009623.8514688807</v>
      </c>
      <c r="M299" s="488"/>
      <c r="N299" s="478">
        <v>922</v>
      </c>
      <c r="O299" s="389" t="s">
        <v>1126</v>
      </c>
      <c r="P299" s="471">
        <v>0</v>
      </c>
      <c r="Q299" s="472" t="s">
        <v>765</v>
      </c>
      <c r="X299" s="473" t="s">
        <v>338</v>
      </c>
      <c r="Y299" s="474">
        <v>21.5</v>
      </c>
      <c r="Z299" s="475">
        <v>15016637.93</v>
      </c>
      <c r="AA299" s="476">
        <f t="shared" si="61"/>
        <v>69844827.58139534</v>
      </c>
      <c r="AB299" s="475">
        <v>514327.1107569233</v>
      </c>
      <c r="AE299" s="489">
        <v>922</v>
      </c>
      <c r="AF299">
        <f t="shared" si="62"/>
        <v>0</v>
      </c>
      <c r="AH299" s="477">
        <v>14939.48006355946</v>
      </c>
      <c r="AI299">
        <f t="shared" si="63"/>
        <v>14939480.06355946</v>
      </c>
      <c r="AJ299" s="490">
        <v>515.109848</v>
      </c>
      <c r="AK299">
        <f t="shared" si="64"/>
        <v>515109.84800000006</v>
      </c>
    </row>
    <row r="300" spans="1:37" ht="15" customHeight="1">
      <c r="A300" s="453" t="s">
        <v>1127</v>
      </c>
      <c r="B300" s="467">
        <v>3216</v>
      </c>
      <c r="C300" s="468">
        <f t="shared" si="52"/>
        <v>8092090.005250001</v>
      </c>
      <c r="D300" s="468">
        <f t="shared" si="53"/>
        <v>619032.8465964021</v>
      </c>
      <c r="E300" s="468">
        <v>0</v>
      </c>
      <c r="F300" s="468">
        <f t="shared" si="54"/>
        <v>8711122.851846404</v>
      </c>
      <c r="G300" s="469">
        <f t="shared" si="55"/>
        <v>2708.6824788079616</v>
      </c>
      <c r="H300" s="460">
        <f t="shared" si="56"/>
        <v>1078.4375211920383</v>
      </c>
      <c r="I300" s="380">
        <f t="shared" si="57"/>
      </c>
      <c r="J300" s="380">
        <f t="shared" si="58"/>
      </c>
      <c r="K300" s="461">
        <f t="shared" si="59"/>
        <v>862.7500169536306</v>
      </c>
      <c r="L300" s="488">
        <f t="shared" si="60"/>
        <v>2774604.054522876</v>
      </c>
      <c r="M300" s="488"/>
      <c r="N300" s="478">
        <v>924</v>
      </c>
      <c r="O300" s="479" t="s">
        <v>1128</v>
      </c>
      <c r="P300" s="471">
        <v>0</v>
      </c>
      <c r="Q300" s="472" t="s">
        <v>785</v>
      </c>
      <c r="X300" s="473" t="s">
        <v>339</v>
      </c>
      <c r="Y300" s="474">
        <v>22</v>
      </c>
      <c r="Z300" s="475">
        <v>8968563.23</v>
      </c>
      <c r="AA300" s="476">
        <f t="shared" si="61"/>
        <v>40766196.5</v>
      </c>
      <c r="AB300" s="475">
        <v>619032.8465964021</v>
      </c>
      <c r="AE300" s="489">
        <v>924</v>
      </c>
      <c r="AF300">
        <f t="shared" si="62"/>
        <v>0</v>
      </c>
      <c r="AH300" s="477">
        <v>8911.116845126116</v>
      </c>
      <c r="AI300">
        <f t="shared" si="63"/>
        <v>8911116.845126117</v>
      </c>
      <c r="AJ300" s="490">
        <v>619.974932</v>
      </c>
      <c r="AK300">
        <f t="shared" si="64"/>
        <v>619974.9319999999</v>
      </c>
    </row>
    <row r="301" spans="1:37" ht="15" customHeight="1">
      <c r="A301" s="453" t="s">
        <v>1129</v>
      </c>
      <c r="B301" s="467">
        <v>3685</v>
      </c>
      <c r="C301" s="468">
        <f t="shared" si="52"/>
        <v>9189530.390571428</v>
      </c>
      <c r="D301" s="468">
        <f t="shared" si="53"/>
        <v>3237080.766951254</v>
      </c>
      <c r="E301" s="468">
        <v>0</v>
      </c>
      <c r="F301" s="468">
        <f t="shared" si="54"/>
        <v>12426611.157522682</v>
      </c>
      <c r="G301" s="469">
        <f t="shared" si="55"/>
        <v>3372.21469674971</v>
      </c>
      <c r="H301" s="460">
        <f t="shared" si="56"/>
        <v>414.90530325028976</v>
      </c>
      <c r="I301" s="380">
        <f t="shared" si="57"/>
      </c>
      <c r="J301" s="380">
        <f t="shared" si="58"/>
      </c>
      <c r="K301" s="461">
        <f t="shared" si="59"/>
        <v>331.9242426002318</v>
      </c>
      <c r="L301" s="488">
        <f t="shared" si="60"/>
        <v>1223140.8339818544</v>
      </c>
      <c r="M301" s="488"/>
      <c r="N301" s="478">
        <v>925</v>
      </c>
      <c r="O301" s="389" t="s">
        <v>1129</v>
      </c>
      <c r="P301" s="471">
        <v>0</v>
      </c>
      <c r="Q301" s="472" t="s">
        <v>819</v>
      </c>
      <c r="X301" s="473" t="s">
        <v>340</v>
      </c>
      <c r="Y301" s="474">
        <v>21</v>
      </c>
      <c r="Z301" s="475">
        <v>9721921.32</v>
      </c>
      <c r="AA301" s="476">
        <f t="shared" si="61"/>
        <v>46294863.428571425</v>
      </c>
      <c r="AB301" s="475">
        <v>3237080.766951254</v>
      </c>
      <c r="AE301" s="489">
        <v>925</v>
      </c>
      <c r="AF301">
        <f t="shared" si="62"/>
        <v>0</v>
      </c>
      <c r="AH301" s="477">
        <v>9476.84154447349</v>
      </c>
      <c r="AI301">
        <f t="shared" si="63"/>
        <v>9476841.54447349</v>
      </c>
      <c r="AJ301" s="490">
        <v>3242.007172</v>
      </c>
      <c r="AK301">
        <f t="shared" si="64"/>
        <v>3242007.1720000003</v>
      </c>
    </row>
    <row r="302" spans="1:37" ht="15" customHeight="1">
      <c r="A302" s="453" t="s">
        <v>1130</v>
      </c>
      <c r="B302" s="467">
        <v>29054</v>
      </c>
      <c r="C302" s="468">
        <f t="shared" si="52"/>
        <v>109763016.12395123</v>
      </c>
      <c r="D302" s="468">
        <f t="shared" si="53"/>
        <v>3672878.528899987</v>
      </c>
      <c r="E302" s="468">
        <v>0</v>
      </c>
      <c r="F302" s="468">
        <f t="shared" si="54"/>
        <v>113435894.65285121</v>
      </c>
      <c r="G302" s="469">
        <f t="shared" si="55"/>
        <v>3904.3124751446</v>
      </c>
      <c r="H302" s="460">
        <f t="shared" si="56"/>
        <v>-117.19247514459994</v>
      </c>
      <c r="I302" s="380">
        <f t="shared" si="57"/>
        <v>4.7638176698308135</v>
      </c>
      <c r="J302" s="380">
        <f t="shared" si="58"/>
        <v>34.763817669830814</v>
      </c>
      <c r="K302" s="461">
        <f t="shared" si="59"/>
        <v>-40.74057838203052</v>
      </c>
      <c r="L302" s="488">
        <f t="shared" si="60"/>
        <v>-1183676.7643115148</v>
      </c>
      <c r="M302" s="488"/>
      <c r="N302" s="478">
        <v>927</v>
      </c>
      <c r="O302" s="479" t="s">
        <v>1131</v>
      </c>
      <c r="P302" s="471">
        <v>0</v>
      </c>
      <c r="Q302" s="472" t="s">
        <v>762</v>
      </c>
      <c r="X302" s="473" t="s">
        <v>341</v>
      </c>
      <c r="Y302" s="474">
        <v>20.5</v>
      </c>
      <c r="Z302" s="475">
        <v>113357271.06</v>
      </c>
      <c r="AA302" s="476">
        <f t="shared" si="61"/>
        <v>552962297.8536586</v>
      </c>
      <c r="AB302" s="475">
        <v>3672878.528899987</v>
      </c>
      <c r="AE302" s="495">
        <v>927</v>
      </c>
      <c r="AF302">
        <f t="shared" si="62"/>
        <v>0</v>
      </c>
      <c r="AH302" s="477">
        <v>113379.67718944681</v>
      </c>
      <c r="AI302">
        <f t="shared" si="63"/>
        <v>113379677.1894468</v>
      </c>
      <c r="AJ302" s="496">
        <v>3678.4681599999994</v>
      </c>
      <c r="AK302">
        <f t="shared" si="64"/>
        <v>3678468.159999999</v>
      </c>
    </row>
    <row r="303" spans="1:37" ht="15" customHeight="1">
      <c r="A303" s="453" t="s">
        <v>1132</v>
      </c>
      <c r="B303" s="467">
        <v>6411</v>
      </c>
      <c r="C303" s="468">
        <f t="shared" si="52"/>
        <v>15531002.905261906</v>
      </c>
      <c r="D303" s="468">
        <f t="shared" si="53"/>
        <v>2259262.775477655</v>
      </c>
      <c r="E303" s="468">
        <v>0</v>
      </c>
      <c r="F303" s="468">
        <f t="shared" si="54"/>
        <v>17790265.68073956</v>
      </c>
      <c r="G303" s="469">
        <f t="shared" si="55"/>
        <v>2774.959550887468</v>
      </c>
      <c r="H303" s="460">
        <f t="shared" si="56"/>
        <v>1012.1604491125318</v>
      </c>
      <c r="I303" s="380">
        <f t="shared" si="57"/>
      </c>
      <c r="J303" s="380">
        <f t="shared" si="58"/>
      </c>
      <c r="K303" s="461">
        <f t="shared" si="59"/>
        <v>809.7283592900254</v>
      </c>
      <c r="L303" s="488">
        <f t="shared" si="60"/>
        <v>5191168.511408353</v>
      </c>
      <c r="M303" s="488"/>
      <c r="N303" s="478">
        <v>931</v>
      </c>
      <c r="O303" s="389" t="s">
        <v>1132</v>
      </c>
      <c r="P303" s="471">
        <v>0</v>
      </c>
      <c r="Q303" s="472" t="s">
        <v>790</v>
      </c>
      <c r="X303" s="473" t="s">
        <v>342</v>
      </c>
      <c r="Y303" s="474">
        <v>21</v>
      </c>
      <c r="Z303" s="475">
        <v>16430783.93</v>
      </c>
      <c r="AA303" s="476">
        <f t="shared" si="61"/>
        <v>78241828.23809524</v>
      </c>
      <c r="AB303" s="475">
        <v>2259262.775477655</v>
      </c>
      <c r="AE303" s="489">
        <v>931</v>
      </c>
      <c r="AF303">
        <f t="shared" si="62"/>
        <v>0</v>
      </c>
      <c r="AH303" s="477">
        <v>16521.662709735847</v>
      </c>
      <c r="AI303">
        <f t="shared" si="63"/>
        <v>16521662.709735846</v>
      </c>
      <c r="AJ303" s="490">
        <v>2262.701072</v>
      </c>
      <c r="AK303">
        <f t="shared" si="64"/>
        <v>2262701.0719999997</v>
      </c>
    </row>
    <row r="304" spans="1:37" ht="15" customHeight="1">
      <c r="A304" s="453" t="s">
        <v>1133</v>
      </c>
      <c r="B304" s="467">
        <v>2974</v>
      </c>
      <c r="C304" s="468">
        <f t="shared" si="52"/>
        <v>8021648.625842698</v>
      </c>
      <c r="D304" s="468">
        <f t="shared" si="53"/>
        <v>595186.745181303</v>
      </c>
      <c r="E304" s="468">
        <v>0</v>
      </c>
      <c r="F304" s="468">
        <f t="shared" si="54"/>
        <v>8616835.371024001</v>
      </c>
      <c r="G304" s="469">
        <f t="shared" si="55"/>
        <v>2897.389163088097</v>
      </c>
      <c r="H304" s="460">
        <f t="shared" si="56"/>
        <v>889.7308369119028</v>
      </c>
      <c r="I304" s="380">
        <f t="shared" si="57"/>
      </c>
      <c r="J304" s="380">
        <f t="shared" si="58"/>
      </c>
      <c r="K304" s="461">
        <f t="shared" si="59"/>
        <v>711.7846695295223</v>
      </c>
      <c r="L304" s="488">
        <f t="shared" si="60"/>
        <v>2116847.6071807994</v>
      </c>
      <c r="M304" s="488"/>
      <c r="N304" s="478">
        <v>934</v>
      </c>
      <c r="O304" s="389" t="s">
        <v>1133</v>
      </c>
      <c r="P304" s="471">
        <v>0</v>
      </c>
      <c r="Q304" s="472" t="s">
        <v>755</v>
      </c>
      <c r="X304" s="473" t="s">
        <v>343</v>
      </c>
      <c r="Y304" s="474">
        <v>22.25</v>
      </c>
      <c r="Z304" s="475">
        <v>8991520.5</v>
      </c>
      <c r="AA304" s="476">
        <f t="shared" si="61"/>
        <v>40411328.08988764</v>
      </c>
      <c r="AB304" s="475">
        <v>595186.745181303</v>
      </c>
      <c r="AE304" s="489">
        <v>934</v>
      </c>
      <c r="AF304">
        <f t="shared" si="62"/>
        <v>0</v>
      </c>
      <c r="AH304" s="477">
        <v>8807.852171499771</v>
      </c>
      <c r="AI304">
        <f t="shared" si="63"/>
        <v>8807852.171499772</v>
      </c>
      <c r="AJ304" s="490">
        <v>596.09254</v>
      </c>
      <c r="AK304">
        <f t="shared" si="64"/>
        <v>596092.54</v>
      </c>
    </row>
    <row r="305" spans="1:37" ht="15" customHeight="1">
      <c r="A305" s="453" t="s">
        <v>1134</v>
      </c>
      <c r="B305" s="467">
        <v>3207</v>
      </c>
      <c r="C305" s="468">
        <f t="shared" si="52"/>
        <v>8366966.880025</v>
      </c>
      <c r="D305" s="468">
        <f t="shared" si="53"/>
        <v>1000488.06264982</v>
      </c>
      <c r="E305" s="468">
        <v>0</v>
      </c>
      <c r="F305" s="468">
        <f t="shared" si="54"/>
        <v>9367454.94267482</v>
      </c>
      <c r="G305" s="469">
        <f t="shared" si="55"/>
        <v>2920.9401130885</v>
      </c>
      <c r="H305" s="460">
        <f t="shared" si="56"/>
        <v>866.1798869115</v>
      </c>
      <c r="I305" s="380">
        <f t="shared" si="57"/>
      </c>
      <c r="J305" s="380">
        <f t="shared" si="58"/>
      </c>
      <c r="K305" s="461">
        <f t="shared" si="59"/>
        <v>692.9439095292</v>
      </c>
      <c r="L305" s="488">
        <f t="shared" si="60"/>
        <v>2222271.1178601445</v>
      </c>
      <c r="M305" s="488"/>
      <c r="N305" s="478">
        <v>935</v>
      </c>
      <c r="O305" s="389" t="s">
        <v>1134</v>
      </c>
      <c r="P305" s="471">
        <v>0</v>
      </c>
      <c r="Q305" s="472" t="s">
        <v>788</v>
      </c>
      <c r="X305" s="473" t="s">
        <v>344</v>
      </c>
      <c r="Y305" s="474">
        <v>20</v>
      </c>
      <c r="Z305" s="475">
        <v>8430193.33</v>
      </c>
      <c r="AA305" s="476">
        <f t="shared" si="61"/>
        <v>42150966.65</v>
      </c>
      <c r="AB305" s="475">
        <v>1000488.06264982</v>
      </c>
      <c r="AE305" s="489">
        <v>935</v>
      </c>
      <c r="AF305">
        <f t="shared" si="62"/>
        <v>0</v>
      </c>
      <c r="AH305" s="477">
        <v>8317.349329741694</v>
      </c>
      <c r="AI305">
        <f t="shared" si="63"/>
        <v>8317349.329741693</v>
      </c>
      <c r="AJ305" s="490">
        <v>1002.0106720000001</v>
      </c>
      <c r="AK305">
        <f t="shared" si="64"/>
        <v>1002010.6720000001</v>
      </c>
    </row>
    <row r="306" spans="1:37" ht="15" customHeight="1">
      <c r="A306" s="453" t="s">
        <v>1135</v>
      </c>
      <c r="B306" s="467">
        <v>6844</v>
      </c>
      <c r="C306" s="468">
        <f t="shared" si="52"/>
        <v>17343584.22739759</v>
      </c>
      <c r="D306" s="468">
        <f t="shared" si="53"/>
        <v>2322669.4829283883</v>
      </c>
      <c r="E306" s="468">
        <v>0</v>
      </c>
      <c r="F306" s="468">
        <f t="shared" si="54"/>
        <v>19666253.71032598</v>
      </c>
      <c r="G306" s="469">
        <f t="shared" si="55"/>
        <v>2873.502879942428</v>
      </c>
      <c r="H306" s="460">
        <f t="shared" si="56"/>
        <v>913.6171200575718</v>
      </c>
      <c r="I306" s="380">
        <f t="shared" si="57"/>
      </c>
      <c r="J306" s="380">
        <f t="shared" si="58"/>
      </c>
      <c r="K306" s="461">
        <f t="shared" si="59"/>
        <v>730.8936960460575</v>
      </c>
      <c r="L306" s="488">
        <f t="shared" si="60"/>
        <v>5002236.455739217</v>
      </c>
      <c r="M306" s="488"/>
      <c r="N306" s="478">
        <v>936</v>
      </c>
      <c r="O306" s="479" t="s">
        <v>1136</v>
      </c>
      <c r="P306" s="471">
        <v>0</v>
      </c>
      <c r="Q306" s="472" t="s">
        <v>765</v>
      </c>
      <c r="X306" s="473" t="s">
        <v>345</v>
      </c>
      <c r="Y306" s="474">
        <v>20.75</v>
      </c>
      <c r="Z306" s="475">
        <v>18129943.21</v>
      </c>
      <c r="AA306" s="476">
        <f t="shared" si="61"/>
        <v>87373220.28915663</v>
      </c>
      <c r="AB306" s="475">
        <v>2322669.4829283883</v>
      </c>
      <c r="AE306" s="489">
        <v>936</v>
      </c>
      <c r="AF306">
        <f t="shared" si="62"/>
        <v>0</v>
      </c>
      <c r="AH306" s="477">
        <v>18127.941830535878</v>
      </c>
      <c r="AI306">
        <f t="shared" si="63"/>
        <v>18127941.830535877</v>
      </c>
      <c r="AJ306" s="490">
        <v>2326.204276</v>
      </c>
      <c r="AK306">
        <f t="shared" si="64"/>
        <v>2326204.276</v>
      </c>
    </row>
    <row r="307" spans="1:37" ht="15" customHeight="1">
      <c r="A307" s="453" t="s">
        <v>346</v>
      </c>
      <c r="B307" s="467">
        <v>6616</v>
      </c>
      <c r="C307" s="468">
        <f t="shared" si="52"/>
        <v>17764580.428547624</v>
      </c>
      <c r="D307" s="468">
        <f t="shared" si="53"/>
        <v>1858030.1659784403</v>
      </c>
      <c r="E307" s="468">
        <v>0</v>
      </c>
      <c r="F307" s="468">
        <f t="shared" si="54"/>
        <v>19622610.594526064</v>
      </c>
      <c r="G307" s="469">
        <f t="shared" si="55"/>
        <v>2965.9326775281233</v>
      </c>
      <c r="H307" s="460">
        <f t="shared" si="56"/>
        <v>821.1873224718765</v>
      </c>
      <c r="I307" s="380">
        <f t="shared" si="57"/>
      </c>
      <c r="J307" s="380">
        <f t="shared" si="58"/>
      </c>
      <c r="K307" s="461">
        <f t="shared" si="59"/>
        <v>656.9498579775013</v>
      </c>
      <c r="L307" s="488">
        <f t="shared" si="60"/>
        <v>4346380.260379149</v>
      </c>
      <c r="M307" s="488"/>
      <c r="N307" s="478">
        <v>946</v>
      </c>
      <c r="O307" s="479" t="s">
        <v>1137</v>
      </c>
      <c r="P307" s="471">
        <v>3</v>
      </c>
      <c r="Q307" s="472" t="s">
        <v>835</v>
      </c>
      <c r="X307" s="473" t="s">
        <v>346</v>
      </c>
      <c r="Y307" s="474">
        <v>21</v>
      </c>
      <c r="Z307" s="475">
        <v>18793762.67</v>
      </c>
      <c r="AA307" s="476">
        <f t="shared" si="61"/>
        <v>89494107.95238097</v>
      </c>
      <c r="AB307" s="475">
        <v>1858030.1659784403</v>
      </c>
      <c r="AE307" s="489">
        <v>946</v>
      </c>
      <c r="AF307">
        <f t="shared" si="62"/>
        <v>0</v>
      </c>
      <c r="AH307" s="477">
        <v>18653.3934631033</v>
      </c>
      <c r="AI307">
        <f t="shared" si="63"/>
        <v>18653393.4631033</v>
      </c>
      <c r="AJ307" s="490">
        <v>1860.85784</v>
      </c>
      <c r="AK307">
        <f t="shared" si="64"/>
        <v>1860857.8399999999</v>
      </c>
    </row>
    <row r="308" spans="1:37" ht="15" customHeight="1">
      <c r="A308" s="453" t="s">
        <v>1138</v>
      </c>
      <c r="B308" s="467">
        <v>4118</v>
      </c>
      <c r="C308" s="468">
        <f t="shared" si="52"/>
        <v>10543703.518550001</v>
      </c>
      <c r="D308" s="468">
        <f t="shared" si="53"/>
        <v>700316.7153926676</v>
      </c>
      <c r="E308" s="468">
        <v>0</v>
      </c>
      <c r="F308" s="468">
        <f t="shared" si="54"/>
        <v>11244020.233942669</v>
      </c>
      <c r="G308" s="469">
        <f t="shared" si="55"/>
        <v>2730.4565891070106</v>
      </c>
      <c r="H308" s="460">
        <f t="shared" si="56"/>
        <v>1056.6634108929893</v>
      </c>
      <c r="I308" s="380">
        <f t="shared" si="57"/>
      </c>
      <c r="J308" s="380">
        <f t="shared" si="58"/>
      </c>
      <c r="K308" s="461">
        <f t="shared" si="59"/>
        <v>845.3307287143915</v>
      </c>
      <c r="L308" s="488">
        <f t="shared" si="60"/>
        <v>3481071.9408458644</v>
      </c>
      <c r="M308" s="488"/>
      <c r="N308" s="478">
        <v>976</v>
      </c>
      <c r="O308" s="479" t="s">
        <v>1139</v>
      </c>
      <c r="P308" s="471">
        <v>0</v>
      </c>
      <c r="Q308" s="472" t="s">
        <v>770</v>
      </c>
      <c r="X308" s="473" t="s">
        <v>347</v>
      </c>
      <c r="Y308" s="474">
        <v>20</v>
      </c>
      <c r="Z308" s="475">
        <v>10623378.86</v>
      </c>
      <c r="AA308" s="476">
        <f t="shared" si="61"/>
        <v>53116894.3</v>
      </c>
      <c r="AB308" s="475">
        <v>700316.7153926676</v>
      </c>
      <c r="AE308" s="489">
        <v>976</v>
      </c>
      <c r="AF308">
        <f t="shared" si="62"/>
        <v>0</v>
      </c>
      <c r="AH308" s="477">
        <v>10912.750191719202</v>
      </c>
      <c r="AI308">
        <f t="shared" si="63"/>
        <v>10912750.191719202</v>
      </c>
      <c r="AJ308" s="490">
        <v>701.382504</v>
      </c>
      <c r="AK308">
        <f t="shared" si="64"/>
        <v>701382.5040000001</v>
      </c>
    </row>
    <row r="309" spans="1:37" ht="15" customHeight="1">
      <c r="A309" s="453" t="s">
        <v>1140</v>
      </c>
      <c r="B309" s="467">
        <v>15251</v>
      </c>
      <c r="C309" s="468">
        <f t="shared" si="52"/>
        <v>42344539.017488375</v>
      </c>
      <c r="D309" s="468">
        <f t="shared" si="53"/>
        <v>3291879.4586535087</v>
      </c>
      <c r="E309" s="468">
        <v>0</v>
      </c>
      <c r="F309" s="468">
        <f t="shared" si="54"/>
        <v>45636418.476141885</v>
      </c>
      <c r="G309" s="469">
        <f t="shared" si="55"/>
        <v>2992.3558111692273</v>
      </c>
      <c r="H309" s="460">
        <f t="shared" si="56"/>
        <v>794.7641888307726</v>
      </c>
      <c r="I309" s="380">
        <f t="shared" si="57"/>
      </c>
      <c r="J309" s="380">
        <f t="shared" si="58"/>
      </c>
      <c r="K309" s="461">
        <f t="shared" si="59"/>
        <v>635.8113510646181</v>
      </c>
      <c r="L309" s="488">
        <f t="shared" si="60"/>
        <v>9696758.915086491</v>
      </c>
      <c r="M309" s="488"/>
      <c r="N309" s="478">
        <v>977</v>
      </c>
      <c r="O309" s="389" t="s">
        <v>1140</v>
      </c>
      <c r="P309" s="471">
        <v>0</v>
      </c>
      <c r="Q309" s="472" t="s">
        <v>757</v>
      </c>
      <c r="X309" s="473" t="s">
        <v>348</v>
      </c>
      <c r="Y309" s="474">
        <v>21.5</v>
      </c>
      <c r="Z309" s="475">
        <v>45864362.16</v>
      </c>
      <c r="AA309" s="476">
        <f t="shared" si="61"/>
        <v>213322614.69767442</v>
      </c>
      <c r="AB309" s="475">
        <v>3291879.4586535087</v>
      </c>
      <c r="AE309" s="495">
        <v>977</v>
      </c>
      <c r="AF309">
        <f t="shared" si="62"/>
        <v>0</v>
      </c>
      <c r="AH309" s="477">
        <v>45831.466980963945</v>
      </c>
      <c r="AI309">
        <f t="shared" si="63"/>
        <v>45831466.980963945</v>
      </c>
      <c r="AJ309" s="490">
        <v>3296.88926</v>
      </c>
      <c r="AK309">
        <f t="shared" si="64"/>
        <v>3296889.26</v>
      </c>
    </row>
    <row r="310" spans="1:37" ht="15" customHeight="1">
      <c r="A310" s="453" t="s">
        <v>1141</v>
      </c>
      <c r="B310" s="467">
        <v>32878</v>
      </c>
      <c r="C310" s="468">
        <f t="shared" si="52"/>
        <v>110216240.97782928</v>
      </c>
      <c r="D310" s="468">
        <f t="shared" si="53"/>
        <v>5846135.669479425</v>
      </c>
      <c r="E310" s="468">
        <v>0</v>
      </c>
      <c r="F310" s="468">
        <f t="shared" si="54"/>
        <v>116062376.6473087</v>
      </c>
      <c r="G310" s="469">
        <f t="shared" si="55"/>
        <v>3530.092361071498</v>
      </c>
      <c r="H310" s="460">
        <f t="shared" si="56"/>
        <v>257.0276389285018</v>
      </c>
      <c r="I310" s="380">
        <f t="shared" si="57"/>
      </c>
      <c r="J310" s="380">
        <f t="shared" si="58"/>
      </c>
      <c r="K310" s="461">
        <f t="shared" si="59"/>
        <v>205.62211114280146</v>
      </c>
      <c r="L310" s="488">
        <f t="shared" si="60"/>
        <v>6760443.770153026</v>
      </c>
      <c r="M310" s="488"/>
      <c r="N310" s="478">
        <v>980</v>
      </c>
      <c r="O310" s="389" t="s">
        <v>1141</v>
      </c>
      <c r="P310" s="471">
        <v>0</v>
      </c>
      <c r="Q310" s="472" t="s">
        <v>765</v>
      </c>
      <c r="X310" s="473" t="s">
        <v>349</v>
      </c>
      <c r="Y310" s="474">
        <v>20.5</v>
      </c>
      <c r="Z310" s="475">
        <v>113825337.03</v>
      </c>
      <c r="AA310" s="476">
        <f t="shared" si="61"/>
        <v>555245546.4878049</v>
      </c>
      <c r="AB310" s="475">
        <v>5846135.669479425</v>
      </c>
      <c r="AE310" s="489">
        <v>980</v>
      </c>
      <c r="AF310">
        <f t="shared" si="62"/>
        <v>0</v>
      </c>
      <c r="AH310" s="477">
        <v>114186.71417845109</v>
      </c>
      <c r="AI310">
        <f t="shared" si="63"/>
        <v>114186714.17845109</v>
      </c>
      <c r="AJ310" s="490">
        <v>5855.032708000001</v>
      </c>
      <c r="AK310">
        <f t="shared" si="64"/>
        <v>5855032.708000001</v>
      </c>
    </row>
    <row r="311" spans="1:37" ht="15" customHeight="1">
      <c r="A311" s="453" t="s">
        <v>1142</v>
      </c>
      <c r="B311" s="467">
        <v>2372</v>
      </c>
      <c r="C311" s="468">
        <f t="shared" si="52"/>
        <v>6497844.5974418605</v>
      </c>
      <c r="D311" s="468">
        <f t="shared" si="53"/>
        <v>283298.0821155334</v>
      </c>
      <c r="E311" s="468">
        <v>0</v>
      </c>
      <c r="F311" s="468">
        <f t="shared" si="54"/>
        <v>6781142.679557394</v>
      </c>
      <c r="G311" s="469">
        <f t="shared" si="55"/>
        <v>2858.8291229162705</v>
      </c>
      <c r="H311" s="460">
        <f t="shared" si="56"/>
        <v>928.2908770837294</v>
      </c>
      <c r="I311" s="380">
        <f t="shared" si="57"/>
      </c>
      <c r="J311" s="380">
        <f t="shared" si="58"/>
      </c>
      <c r="K311" s="461">
        <f t="shared" si="59"/>
        <v>742.6327016669835</v>
      </c>
      <c r="L311" s="488">
        <f t="shared" si="60"/>
        <v>1761524.7683540848</v>
      </c>
      <c r="M311" s="488"/>
      <c r="N311" s="478">
        <v>981</v>
      </c>
      <c r="O311" s="389" t="s">
        <v>1142</v>
      </c>
      <c r="P311" s="471">
        <v>0</v>
      </c>
      <c r="Q311" s="472" t="s">
        <v>779</v>
      </c>
      <c r="X311" s="473" t="s">
        <v>350</v>
      </c>
      <c r="Y311" s="474">
        <v>21.5</v>
      </c>
      <c r="Z311" s="475">
        <v>7037967.7</v>
      </c>
      <c r="AA311" s="476">
        <f t="shared" si="61"/>
        <v>32734733.48837209</v>
      </c>
      <c r="AB311" s="475">
        <v>283298.0821155334</v>
      </c>
      <c r="AE311" s="489">
        <v>981</v>
      </c>
      <c r="AF311">
        <f t="shared" si="62"/>
        <v>0</v>
      </c>
      <c r="AH311" s="477">
        <v>6919.195842013918</v>
      </c>
      <c r="AI311">
        <f t="shared" si="63"/>
        <v>6919195.842013918</v>
      </c>
      <c r="AJ311" s="490">
        <v>283.729224</v>
      </c>
      <c r="AK311">
        <f t="shared" si="64"/>
        <v>283729.224</v>
      </c>
    </row>
    <row r="312" spans="1:37" ht="15" customHeight="1">
      <c r="A312" s="453" t="s">
        <v>1143</v>
      </c>
      <c r="B312" s="467">
        <v>5906</v>
      </c>
      <c r="C312" s="468">
        <f t="shared" si="52"/>
        <v>15528795.168068185</v>
      </c>
      <c r="D312" s="468">
        <f t="shared" si="53"/>
        <v>1570980.8008152242</v>
      </c>
      <c r="E312" s="468">
        <v>0</v>
      </c>
      <c r="F312" s="468">
        <f t="shared" si="54"/>
        <v>17099775.96888341</v>
      </c>
      <c r="G312" s="469">
        <f t="shared" si="55"/>
        <v>2895.322717386287</v>
      </c>
      <c r="H312" s="460">
        <f t="shared" si="56"/>
        <v>891.7972826137129</v>
      </c>
      <c r="I312" s="380">
        <f t="shared" si="57"/>
      </c>
      <c r="J312" s="380">
        <f t="shared" si="58"/>
      </c>
      <c r="K312" s="461">
        <f t="shared" si="59"/>
        <v>713.4378260909704</v>
      </c>
      <c r="L312" s="488">
        <f t="shared" si="60"/>
        <v>4213563.800893271</v>
      </c>
      <c r="M312" s="488"/>
      <c r="N312" s="478">
        <v>989</v>
      </c>
      <c r="O312" s="479" t="s">
        <v>1144</v>
      </c>
      <c r="P312" s="471">
        <v>0</v>
      </c>
      <c r="Q312" s="472" t="s">
        <v>755</v>
      </c>
      <c r="X312" s="473" t="s">
        <v>351</v>
      </c>
      <c r="Y312" s="474">
        <v>22</v>
      </c>
      <c r="Z312" s="475">
        <v>17210755.35</v>
      </c>
      <c r="AA312" s="476">
        <f t="shared" si="61"/>
        <v>78230706.13636364</v>
      </c>
      <c r="AB312" s="475">
        <v>1570980.8008152242</v>
      </c>
      <c r="AE312" s="489">
        <v>989</v>
      </c>
      <c r="AF312">
        <f t="shared" si="62"/>
        <v>0</v>
      </c>
      <c r="AH312" s="477">
        <v>17247.546984120745</v>
      </c>
      <c r="AI312">
        <f t="shared" si="63"/>
        <v>17247546.984120745</v>
      </c>
      <c r="AJ312" s="490">
        <v>1573.371624</v>
      </c>
      <c r="AK312">
        <f t="shared" si="64"/>
        <v>1573371.624</v>
      </c>
    </row>
    <row r="313" spans="1:37" ht="15" customHeight="1" thickBot="1">
      <c r="A313" s="453" t="s">
        <v>1145</v>
      </c>
      <c r="B313" s="467">
        <v>19144</v>
      </c>
      <c r="C313" s="468">
        <f t="shared" si="52"/>
        <v>56481456.63627908</v>
      </c>
      <c r="D313" s="468">
        <f t="shared" si="53"/>
        <v>9367458.346166497</v>
      </c>
      <c r="E313" s="468">
        <v>0</v>
      </c>
      <c r="F313" s="468">
        <f t="shared" si="54"/>
        <v>65848914.982445575</v>
      </c>
      <c r="G313" s="469">
        <f t="shared" si="55"/>
        <v>3439.6633400776</v>
      </c>
      <c r="H313" s="460">
        <f t="shared" si="56"/>
        <v>347.4566599223999</v>
      </c>
      <c r="I313" s="380">
        <f t="shared" si="57"/>
      </c>
      <c r="J313" s="380">
        <f t="shared" si="58"/>
      </c>
      <c r="K313" s="461">
        <f t="shared" si="59"/>
        <v>277.96532793791994</v>
      </c>
      <c r="L313" s="488">
        <f t="shared" si="60"/>
        <v>5321368.238043539</v>
      </c>
      <c r="M313" s="488"/>
      <c r="N313" s="478">
        <v>992</v>
      </c>
      <c r="O313" s="389" t="s">
        <v>1145</v>
      </c>
      <c r="P313" s="471">
        <v>0</v>
      </c>
      <c r="Q313" s="472" t="s">
        <v>790</v>
      </c>
      <c r="X313" s="473" t="s">
        <v>352</v>
      </c>
      <c r="Y313" s="474">
        <v>21.5</v>
      </c>
      <c r="Z313" s="475">
        <v>61176388.8</v>
      </c>
      <c r="AA313" s="476">
        <f t="shared" si="61"/>
        <v>284541343.25581396</v>
      </c>
      <c r="AB313" s="475">
        <v>9367458.346166497</v>
      </c>
      <c r="AE313" s="497">
        <v>992</v>
      </c>
      <c r="AF313">
        <f t="shared" si="62"/>
        <v>0</v>
      </c>
      <c r="AH313" s="477">
        <v>61070.414952016115</v>
      </c>
      <c r="AI313">
        <f t="shared" si="63"/>
        <v>61070414.952016115</v>
      </c>
      <c r="AJ313" s="498">
        <v>9381.714368</v>
      </c>
      <c r="AK313">
        <f t="shared" si="64"/>
        <v>9381714.368</v>
      </c>
    </row>
    <row r="314" ht="13.5" thickTop="1">
      <c r="AB314">
        <v>126758.74367405464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M109"/>
  <sheetViews>
    <sheetView zoomScalePageLayoutView="0" workbookViewId="0" topLeftCell="A1">
      <selection activeCell="A1" sqref="A1"/>
    </sheetView>
  </sheetViews>
  <sheetFormatPr defaultColWidth="9.140625" defaultRowHeight="12.75"/>
  <cols>
    <col min="1" max="4" width="2.7109375" style="0" customWidth="1"/>
    <col min="5" max="5" width="27.710937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 min="13" max="13" width="8.7109375" style="229" customWidth="1"/>
  </cols>
  <sheetData>
    <row r="1" spans="1:11" ht="15.75">
      <c r="A1" s="80" t="s">
        <v>717</v>
      </c>
      <c r="E1" s="29"/>
      <c r="F1" s="8"/>
      <c r="G1" s="8"/>
      <c r="H1" s="8"/>
      <c r="I1" s="8"/>
      <c r="J1" s="8"/>
      <c r="K1" s="104" t="s">
        <v>386</v>
      </c>
    </row>
    <row r="2" spans="5:11" ht="12.75">
      <c r="E2" s="61"/>
      <c r="F2" s="8"/>
      <c r="G2" s="8"/>
      <c r="H2" s="8"/>
      <c r="I2" s="8"/>
      <c r="J2" s="8"/>
      <c r="K2" s="8"/>
    </row>
    <row r="3" spans="2:11" ht="18">
      <c r="B3" s="499" t="s">
        <v>675</v>
      </c>
      <c r="C3" s="500"/>
      <c r="D3" s="500"/>
      <c r="E3" s="500"/>
      <c r="F3" s="500"/>
      <c r="G3" s="500"/>
      <c r="H3" s="500"/>
      <c r="I3" s="500"/>
      <c r="J3" s="500"/>
      <c r="K3" s="501"/>
    </row>
    <row r="4" spans="5:10" ht="12.75">
      <c r="E4" s="8"/>
      <c r="F4" s="8"/>
      <c r="G4" s="8"/>
      <c r="H4" s="8"/>
      <c r="I4" s="8"/>
      <c r="J4" s="8"/>
    </row>
    <row r="5" spans="2:11" ht="12.75">
      <c r="B5" s="55" t="s">
        <v>40</v>
      </c>
      <c r="C5" s="28"/>
      <c r="D5" s="28"/>
      <c r="E5" s="40"/>
      <c r="F5" s="56" t="s">
        <v>364</v>
      </c>
      <c r="G5" s="8"/>
      <c r="H5" s="8"/>
      <c r="I5" s="8"/>
      <c r="J5" s="8"/>
      <c r="K5" s="8"/>
    </row>
    <row r="6" spans="2:11" ht="12.75">
      <c r="B6" s="28"/>
      <c r="C6" s="28"/>
      <c r="D6" s="28"/>
      <c r="E6" s="102"/>
      <c r="F6" s="56" t="s">
        <v>363</v>
      </c>
      <c r="G6" s="8"/>
      <c r="H6" s="8"/>
      <c r="I6" s="8"/>
      <c r="J6" s="8"/>
      <c r="K6" s="8"/>
    </row>
    <row r="7" spans="2:11" ht="12.75">
      <c r="B7" s="28"/>
      <c r="C7" s="28"/>
      <c r="D7" s="28"/>
      <c r="E7" s="8"/>
      <c r="F7" s="56"/>
      <c r="G7" s="8"/>
      <c r="H7" s="8"/>
      <c r="I7" s="8"/>
      <c r="J7" s="8"/>
      <c r="K7" s="8"/>
    </row>
    <row r="8" spans="2:11" ht="12.75">
      <c r="B8" s="116"/>
      <c r="C8" s="28"/>
      <c r="D8" s="28"/>
      <c r="E8" s="8"/>
      <c r="F8" s="56"/>
      <c r="G8" s="8"/>
      <c r="H8" s="8"/>
      <c r="I8" s="8"/>
      <c r="J8" s="8"/>
      <c r="K8" s="8"/>
    </row>
    <row r="9" spans="2:13" s="5" customFormat="1" ht="12.75">
      <c r="B9" s="85" t="s">
        <v>0</v>
      </c>
      <c r="F9" s="11" t="str">
        <f>'2.Yhteenveto'!G11</f>
        <v>Akaa</v>
      </c>
      <c r="G9" s="88"/>
      <c r="H9" s="28"/>
      <c r="I9" s="28"/>
      <c r="M9" s="229"/>
    </row>
    <row r="10" spans="2:13" s="5" customFormat="1" ht="12.75">
      <c r="B10" s="85" t="str">
        <f>'2.Yhteenveto'!B12</f>
        <v>Asukasluku 31.12.2018:</v>
      </c>
      <c r="F10" s="150">
        <f>'2.Yhteenveto'!$H$12</f>
        <v>16611</v>
      </c>
      <c r="G10" s="88"/>
      <c r="H10" s="28"/>
      <c r="I10" s="28"/>
      <c r="M10" s="229"/>
    </row>
    <row r="11" spans="3:11" ht="12.75">
      <c r="C11" s="36" t="s">
        <v>414</v>
      </c>
      <c r="F11" s="173"/>
      <c r="G11" s="116"/>
      <c r="H11" s="8"/>
      <c r="I11" s="8"/>
      <c r="J11" s="8"/>
      <c r="K11" s="27"/>
    </row>
    <row r="12" spans="3:11" ht="12.75">
      <c r="C12" s="36"/>
      <c r="F12" s="8"/>
      <c r="G12" s="116"/>
      <c r="H12" s="8"/>
      <c r="I12" s="8"/>
      <c r="J12" s="8"/>
      <c r="K12" s="27"/>
    </row>
    <row r="13" spans="2:11" ht="14.25">
      <c r="B13" s="28" t="s">
        <v>498</v>
      </c>
      <c r="F13" s="222">
        <f>INDEX(muutla_12,MATCH(F9,kunta,0),1,1)</f>
        <v>56.64256973334243</v>
      </c>
      <c r="G13" s="28" t="s">
        <v>570</v>
      </c>
      <c r="H13" s="72"/>
      <c r="I13" s="8"/>
      <c r="J13" s="8"/>
      <c r="K13" s="27"/>
    </row>
    <row r="14" spans="5:11" ht="12.75">
      <c r="E14" s="8"/>
      <c r="F14" s="9"/>
      <c r="G14" s="8"/>
      <c r="H14" s="8"/>
      <c r="I14" s="8"/>
      <c r="J14" s="8"/>
      <c r="K14" s="8"/>
    </row>
    <row r="15" spans="2:11" ht="12.75">
      <c r="B15" s="27" t="s">
        <v>415</v>
      </c>
      <c r="F15" s="8"/>
      <c r="G15" s="8"/>
      <c r="H15" s="8"/>
      <c r="I15" s="8"/>
      <c r="J15" s="8"/>
      <c r="K15" s="19"/>
    </row>
    <row r="16" spans="2:11" ht="12.75">
      <c r="B16" s="72" t="s">
        <v>633</v>
      </c>
      <c r="F16" s="8"/>
      <c r="G16" s="8"/>
      <c r="H16" s="8"/>
      <c r="I16" s="8"/>
      <c r="J16" s="8"/>
      <c r="K16" s="19"/>
    </row>
    <row r="17" spans="5:11" ht="12.75">
      <c r="E17" s="36"/>
      <c r="F17" s="60"/>
      <c r="G17" s="8"/>
      <c r="H17" s="73"/>
      <c r="I17" s="73"/>
      <c r="J17" s="8"/>
      <c r="K17" s="19"/>
    </row>
    <row r="18" spans="3:11" ht="12.75">
      <c r="C18" s="28" t="s">
        <v>54</v>
      </c>
      <c r="G18" s="72" t="s">
        <v>705</v>
      </c>
      <c r="J18" s="8"/>
      <c r="K18" s="352">
        <f>'10.Lukio'!J58</f>
        <v>0</v>
      </c>
    </row>
    <row r="19" spans="3:11" ht="12.75">
      <c r="C19" s="28" t="s">
        <v>16</v>
      </c>
      <c r="F19" s="8"/>
      <c r="G19" s="72" t="s">
        <v>704</v>
      </c>
      <c r="J19" s="8"/>
      <c r="K19" s="30"/>
    </row>
    <row r="20" spans="5:11" ht="12.75">
      <c r="E20" s="8"/>
      <c r="F20" s="8"/>
      <c r="G20" s="8"/>
      <c r="H20" s="8"/>
      <c r="I20" s="8"/>
      <c r="J20" s="8"/>
      <c r="K20" s="19"/>
    </row>
    <row r="21" spans="2:11" ht="12.75">
      <c r="B21" s="117" t="s">
        <v>373</v>
      </c>
      <c r="C21" s="90"/>
      <c r="D21" s="90"/>
      <c r="E21" s="90"/>
      <c r="F21" s="113"/>
      <c r="G21" s="112"/>
      <c r="H21" s="131"/>
      <c r="I21" s="131"/>
      <c r="J21" s="112"/>
      <c r="K21" s="114">
        <f>SUM(K18:K19)</f>
        <v>0</v>
      </c>
    </row>
    <row r="22" spans="5:11" ht="12.75">
      <c r="E22" s="8"/>
      <c r="F22" s="8"/>
      <c r="G22" s="8"/>
      <c r="H22" s="8"/>
      <c r="I22" s="8"/>
      <c r="J22" s="8"/>
      <c r="K22" s="19"/>
    </row>
    <row r="23" spans="5:11" ht="12.75">
      <c r="E23" s="8"/>
      <c r="F23" s="8"/>
      <c r="G23" s="8"/>
      <c r="H23" s="8"/>
      <c r="I23" s="8"/>
      <c r="J23" s="8"/>
      <c r="K23" s="19"/>
    </row>
    <row r="24" spans="2:11" ht="12.75">
      <c r="B24" s="27" t="s">
        <v>703</v>
      </c>
      <c r="E24" s="8"/>
      <c r="F24" s="8"/>
      <c r="G24" s="8"/>
      <c r="H24" s="8"/>
      <c r="I24" s="8"/>
      <c r="J24" s="8"/>
      <c r="K24" s="19"/>
    </row>
    <row r="25" spans="2:11" ht="12.75">
      <c r="B25" s="27"/>
      <c r="E25" s="8"/>
      <c r="F25" s="8"/>
      <c r="G25" s="8"/>
      <c r="H25" s="8"/>
      <c r="I25" s="8"/>
      <c r="J25" s="8"/>
      <c r="K25" s="19"/>
    </row>
    <row r="26" spans="3:11" ht="12.75">
      <c r="C26" s="5" t="s">
        <v>700</v>
      </c>
      <c r="E26" s="8"/>
      <c r="F26" s="8"/>
      <c r="G26" s="345">
        <v>-80</v>
      </c>
      <c r="H26" s="8" t="s">
        <v>1</v>
      </c>
      <c r="I26" s="8"/>
      <c r="J26" s="19"/>
      <c r="K26" s="87">
        <f>G26*$F$10</f>
        <v>-1328880</v>
      </c>
    </row>
    <row r="27" spans="3:11" ht="12.75">
      <c r="C27" s="5" t="s">
        <v>701</v>
      </c>
      <c r="E27" s="8"/>
      <c r="F27" s="8"/>
      <c r="G27" s="345">
        <v>-174</v>
      </c>
      <c r="H27" s="8" t="s">
        <v>1</v>
      </c>
      <c r="I27" s="8"/>
      <c r="J27" s="19"/>
      <c r="K27" s="87">
        <f>G27*$F$10</f>
        <v>-2890314</v>
      </c>
    </row>
    <row r="28" spans="2:13" s="5" customFormat="1" ht="12.75">
      <c r="B28" s="28"/>
      <c r="C28" s="66"/>
      <c r="G28" s="346"/>
      <c r="H28" s="28"/>
      <c r="I28" s="28"/>
      <c r="J28" s="87"/>
      <c r="K28" s="87"/>
      <c r="M28" s="229"/>
    </row>
    <row r="29" spans="2:13" s="5" customFormat="1" ht="12.75">
      <c r="B29" s="117" t="s">
        <v>702</v>
      </c>
      <c r="C29" s="90"/>
      <c r="D29" s="90"/>
      <c r="E29" s="90"/>
      <c r="F29" s="113"/>
      <c r="G29" s="112"/>
      <c r="H29" s="131">
        <f>SUM(G26:G27)</f>
        <v>-254</v>
      </c>
      <c r="I29" s="353" t="s">
        <v>1</v>
      </c>
      <c r="J29" s="112"/>
      <c r="K29" s="114">
        <f>SUM(K26:K27)</f>
        <v>-4219194</v>
      </c>
      <c r="M29" s="229"/>
    </row>
    <row r="30" ht="14.25">
      <c r="E30" s="47"/>
    </row>
    <row r="31" ht="14.25">
      <c r="E31" s="47"/>
    </row>
    <row r="32" spans="2:11" ht="12.75">
      <c r="B32" s="27" t="s">
        <v>374</v>
      </c>
      <c r="F32" s="8"/>
      <c r="G32" s="8"/>
      <c r="H32" s="8"/>
      <c r="I32" s="8"/>
      <c r="J32" s="8"/>
      <c r="K32" s="33"/>
    </row>
    <row r="33" spans="5:11" ht="12.75">
      <c r="E33" s="8"/>
      <c r="F33" s="8"/>
      <c r="G33" s="8"/>
      <c r="H33" s="8"/>
      <c r="I33" s="235"/>
      <c r="J33" s="8"/>
      <c r="K33" s="19"/>
    </row>
    <row r="34" spans="5:11" ht="12.75">
      <c r="E34" s="28" t="s">
        <v>571</v>
      </c>
      <c r="F34" s="97">
        <f>'8.Kotikuntakorvaukset'!F20</f>
        <v>6600.17</v>
      </c>
      <c r="G34" s="8"/>
      <c r="H34" s="116" t="s">
        <v>634</v>
      </c>
      <c r="I34" s="8"/>
      <c r="J34" s="8"/>
      <c r="K34" s="19"/>
    </row>
    <row r="35" spans="5:11" ht="13.5" thickBot="1">
      <c r="E35" s="106" t="s">
        <v>572</v>
      </c>
      <c r="F35" s="161">
        <f>-160.78-33.3-41.99-84.7</f>
        <v>-320.77</v>
      </c>
      <c r="G35" s="8"/>
      <c r="H35" s="8"/>
      <c r="I35" s="8"/>
      <c r="J35" s="8"/>
      <c r="K35" s="19"/>
    </row>
    <row r="36" spans="5:11" ht="13.5" thickTop="1">
      <c r="E36" s="28" t="s">
        <v>676</v>
      </c>
      <c r="F36" s="237">
        <f>F34+F35</f>
        <v>6279.4</v>
      </c>
      <c r="G36" s="8"/>
      <c r="H36" s="8"/>
      <c r="I36" s="235"/>
      <c r="J36" s="8"/>
      <c r="K36" s="19"/>
    </row>
    <row r="37" spans="5:11" ht="12.75">
      <c r="E37" s="28" t="s">
        <v>614</v>
      </c>
      <c r="F37" s="236">
        <v>0.9897</v>
      </c>
      <c r="G37" s="8"/>
      <c r="H37" s="8"/>
      <c r="I37" s="8"/>
      <c r="J37" s="8"/>
      <c r="K37" s="19"/>
    </row>
    <row r="38" spans="5:11" ht="12.75">
      <c r="E38" s="8"/>
      <c r="F38" s="8"/>
      <c r="G38" s="8"/>
      <c r="H38" s="8"/>
      <c r="I38" s="8"/>
      <c r="J38" s="8"/>
      <c r="K38" s="19"/>
    </row>
    <row r="39" spans="3:11" ht="12.75">
      <c r="C39" s="2"/>
      <c r="D39" s="2"/>
      <c r="E39" s="50"/>
      <c r="F39" s="132" t="s">
        <v>377</v>
      </c>
      <c r="G39" s="105"/>
      <c r="H39" s="105"/>
      <c r="I39" s="132" t="s">
        <v>378</v>
      </c>
      <c r="J39" s="105"/>
      <c r="K39" s="133"/>
    </row>
    <row r="40" spans="3:11" ht="12.75">
      <c r="C40" s="2"/>
      <c r="D40" s="2"/>
      <c r="E40" s="50"/>
      <c r="F40" s="132" t="s">
        <v>4</v>
      </c>
      <c r="G40" s="105" t="s">
        <v>376</v>
      </c>
      <c r="H40" s="105"/>
      <c r="I40" s="132" t="s">
        <v>5</v>
      </c>
      <c r="J40" s="105" t="s">
        <v>6</v>
      </c>
      <c r="K40" s="105" t="s">
        <v>361</v>
      </c>
    </row>
    <row r="41" spans="5:11" ht="12.75">
      <c r="E41" s="8"/>
      <c r="F41" s="8"/>
      <c r="G41" s="66"/>
      <c r="J41" s="8"/>
      <c r="K41" s="19"/>
    </row>
    <row r="42" spans="3:13" ht="12.75">
      <c r="C42" s="27" t="s">
        <v>29</v>
      </c>
      <c r="F42" s="44">
        <f>$F$36</f>
        <v>6279.4</v>
      </c>
      <c r="G42" s="116" t="s">
        <v>38</v>
      </c>
      <c r="I42" s="30"/>
      <c r="J42" s="8">
        <v>1.26</v>
      </c>
      <c r="K42" s="19">
        <f>F42*I42*J42*$F$37</f>
        <v>0</v>
      </c>
      <c r="M42" s="229">
        <f>J42*F42</f>
        <v>7912.044</v>
      </c>
    </row>
    <row r="43" spans="3:11" ht="12.75">
      <c r="C43" s="27"/>
      <c r="F43" s="44"/>
      <c r="G43" s="116"/>
      <c r="I43" s="8"/>
      <c r="J43" s="8"/>
      <c r="K43" s="19"/>
    </row>
    <row r="44" spans="3:11" ht="12.75">
      <c r="C44" s="27" t="s">
        <v>28</v>
      </c>
      <c r="F44" s="8"/>
      <c r="J44" s="8"/>
      <c r="K44" s="19"/>
    </row>
    <row r="45" spans="4:13" ht="12.75">
      <c r="D45" s="28" t="s">
        <v>574</v>
      </c>
      <c r="F45" s="44">
        <f>$F$36</f>
        <v>6279.4</v>
      </c>
      <c r="G45" s="116" t="s">
        <v>38</v>
      </c>
      <c r="I45" s="30"/>
      <c r="J45" s="8">
        <v>4.76</v>
      </c>
      <c r="K45" s="19">
        <f>F45*I45*J45*$F$37</f>
        <v>0</v>
      </c>
      <c r="M45" s="229">
        <f>J45*F45</f>
        <v>29889.943999999996</v>
      </c>
    </row>
    <row r="46" spans="4:13" ht="12.75">
      <c r="D46" s="28" t="s">
        <v>615</v>
      </c>
      <c r="F46" s="44">
        <f>$F$36</f>
        <v>6279.4</v>
      </c>
      <c r="G46" s="116" t="s">
        <v>38</v>
      </c>
      <c r="I46" s="30"/>
      <c r="J46" s="8">
        <v>2.97</v>
      </c>
      <c r="K46" s="19">
        <f>F46*I46*J46*$F$37</f>
        <v>0</v>
      </c>
      <c r="M46" s="229">
        <f>J46*F46</f>
        <v>18649.818</v>
      </c>
    </row>
    <row r="47" spans="5:11" ht="12.75">
      <c r="E47" s="8"/>
      <c r="F47" s="8"/>
      <c r="G47" s="66"/>
      <c r="J47" s="8"/>
      <c r="K47" s="19"/>
    </row>
    <row r="48" spans="3:13" ht="12.75">
      <c r="C48" s="27" t="s">
        <v>45</v>
      </c>
      <c r="F48" s="44">
        <f>$F$36</f>
        <v>6279.4</v>
      </c>
      <c r="G48" s="116" t="s">
        <v>38</v>
      </c>
      <c r="I48" s="30"/>
      <c r="J48" s="8">
        <v>0.46</v>
      </c>
      <c r="K48" s="19">
        <f>F48*I48*J48*$F$37</f>
        <v>0</v>
      </c>
      <c r="M48" s="229">
        <f>J48*F48</f>
        <v>2888.524</v>
      </c>
    </row>
    <row r="49" spans="3:13" ht="12.75">
      <c r="C49" s="27" t="s">
        <v>573</v>
      </c>
      <c r="F49" s="44">
        <f>$F$36</f>
        <v>6279.4</v>
      </c>
      <c r="G49" s="116" t="s">
        <v>38</v>
      </c>
      <c r="I49" s="30"/>
      <c r="J49" s="8">
        <v>1.86</v>
      </c>
      <c r="K49" s="19">
        <f>F49*I49*J49*$F$37</f>
        <v>0</v>
      </c>
      <c r="M49" s="229">
        <f>J49*F49</f>
        <v>11679.684</v>
      </c>
    </row>
    <row r="50" spans="5:11" ht="12.75">
      <c r="E50" s="27"/>
      <c r="F50" s="60"/>
      <c r="G50" s="116"/>
      <c r="I50" s="33"/>
      <c r="J50" s="8"/>
      <c r="K50" s="19"/>
    </row>
    <row r="51" spans="3:11" ht="12.75">
      <c r="C51" s="27" t="s">
        <v>30</v>
      </c>
      <c r="G51" s="66"/>
      <c r="K51" s="64"/>
    </row>
    <row r="52" spans="4:13" ht="12.75">
      <c r="D52" s="28" t="s">
        <v>595</v>
      </c>
      <c r="F52" s="44">
        <f>$F$34+$F$35</f>
        <v>6279.4</v>
      </c>
      <c r="G52" s="116" t="s">
        <v>38</v>
      </c>
      <c r="I52" s="30"/>
      <c r="J52" s="8">
        <v>1.41</v>
      </c>
      <c r="K52" s="19">
        <f>F52*I52*J52*$F$37</f>
        <v>0</v>
      </c>
      <c r="M52" s="229">
        <f>J52*F52</f>
        <v>8853.954</v>
      </c>
    </row>
    <row r="53" spans="4:11" ht="12.75">
      <c r="D53" s="28"/>
      <c r="F53" s="44"/>
      <c r="G53" s="116"/>
      <c r="I53" s="116" t="s">
        <v>617</v>
      </c>
      <c r="J53" s="8"/>
      <c r="K53" s="19"/>
    </row>
    <row r="54" spans="4:13" ht="12.75">
      <c r="D54" s="28" t="s">
        <v>616</v>
      </c>
      <c r="F54" s="44">
        <f>$F$34+$F$35</f>
        <v>6279.4</v>
      </c>
      <c r="G54" s="116" t="s">
        <v>38</v>
      </c>
      <c r="I54" s="30"/>
      <c r="J54" s="8">
        <v>0.046</v>
      </c>
      <c r="K54" s="19">
        <f>F54*I54*J54*$F$37</f>
        <v>0</v>
      </c>
      <c r="M54" s="229">
        <f>J54*F54</f>
        <v>288.8524</v>
      </c>
    </row>
    <row r="55" spans="4:13" ht="14.25">
      <c r="D55" s="28" t="s">
        <v>618</v>
      </c>
      <c r="F55" s="44">
        <v>234.7</v>
      </c>
      <c r="G55" s="116" t="s">
        <v>44</v>
      </c>
      <c r="I55" s="30"/>
      <c r="J55" s="176" t="s">
        <v>41</v>
      </c>
      <c r="K55" s="19">
        <f>F55*I55*$F$37</f>
        <v>0</v>
      </c>
      <c r="M55" s="229">
        <f>F55</f>
        <v>234.7</v>
      </c>
    </row>
    <row r="56" spans="5:11" ht="12.75">
      <c r="E56" s="238" t="s">
        <v>619</v>
      </c>
      <c r="G56" s="116"/>
      <c r="I56" s="8"/>
      <c r="K56" s="19"/>
    </row>
    <row r="57" spans="2:11" ht="14.25">
      <c r="B57" s="134"/>
      <c r="K57" s="64"/>
    </row>
    <row r="58" spans="3:11" ht="12.75">
      <c r="C58" s="27" t="s">
        <v>43</v>
      </c>
      <c r="F58" s="60"/>
      <c r="G58" s="116"/>
      <c r="I58" s="33"/>
      <c r="J58" s="8"/>
      <c r="K58" s="19"/>
    </row>
    <row r="59" spans="4:13" ht="12.75">
      <c r="D59" s="27" t="s">
        <v>42</v>
      </c>
      <c r="F59" s="44">
        <v>3100</v>
      </c>
      <c r="G59" s="116" t="s">
        <v>44</v>
      </c>
      <c r="I59" s="30"/>
      <c r="J59" s="8"/>
      <c r="K59" s="19">
        <f>F59*I59</f>
        <v>0</v>
      </c>
      <c r="M59" s="229">
        <v>3100</v>
      </c>
    </row>
    <row r="60" spans="3:11" ht="12.75">
      <c r="C60" s="27"/>
      <c r="F60" s="60"/>
      <c r="G60" s="116"/>
      <c r="I60" s="33"/>
      <c r="J60" s="8"/>
      <c r="K60" s="19"/>
    </row>
    <row r="61" spans="3:11" ht="12.75">
      <c r="C61" s="27" t="s">
        <v>677</v>
      </c>
      <c r="G61" s="66"/>
      <c r="I61" s="116" t="s">
        <v>620</v>
      </c>
      <c r="K61" s="64"/>
    </row>
    <row r="62" spans="4:13" ht="12.75">
      <c r="D62" s="27" t="s">
        <v>37</v>
      </c>
      <c r="F62" s="44">
        <f>$F$34+$F$35</f>
        <v>6279.4</v>
      </c>
      <c r="G62" s="116" t="s">
        <v>38</v>
      </c>
      <c r="I62" s="30"/>
      <c r="J62" s="8">
        <v>0.186</v>
      </c>
      <c r="K62" s="19">
        <f>F62*I62*J62*$F$37</f>
        <v>0</v>
      </c>
      <c r="M62" s="229">
        <f>J62*F62</f>
        <v>1167.9684</v>
      </c>
    </row>
    <row r="63" spans="4:11" ht="12.75">
      <c r="D63" s="28"/>
      <c r="F63" s="44"/>
      <c r="G63" s="116"/>
      <c r="J63" s="8"/>
      <c r="K63" s="19"/>
    </row>
    <row r="64" spans="5:11" ht="12.75">
      <c r="E64" s="8"/>
      <c r="F64" s="8"/>
      <c r="G64" s="8"/>
      <c r="H64" s="8"/>
      <c r="I64" s="8"/>
      <c r="J64" s="8"/>
      <c r="K64" s="19"/>
    </row>
    <row r="65" spans="2:11" ht="12.75">
      <c r="B65" s="89" t="s">
        <v>379</v>
      </c>
      <c r="C65" s="90"/>
      <c r="D65" s="90"/>
      <c r="E65" s="111"/>
      <c r="F65" s="112"/>
      <c r="G65" s="112"/>
      <c r="H65" s="112"/>
      <c r="I65" s="112"/>
      <c r="J65" s="112"/>
      <c r="K65" s="114">
        <f>SUM(K42:K63)</f>
        <v>0</v>
      </c>
    </row>
    <row r="66" spans="5:11" ht="12.75">
      <c r="E66" s="8"/>
      <c r="F66" s="8"/>
      <c r="G66" s="8"/>
      <c r="H66" s="8"/>
      <c r="I66" s="8"/>
      <c r="J66" s="8"/>
      <c r="K66" s="19"/>
    </row>
    <row r="67" spans="5:11" ht="14.25">
      <c r="E67" s="47"/>
      <c r="K67" s="64"/>
    </row>
    <row r="68" spans="5:11" ht="14.25">
      <c r="E68" s="47"/>
      <c r="K68" s="122" t="s">
        <v>387</v>
      </c>
    </row>
    <row r="69" spans="2:11" ht="12.75">
      <c r="B69" s="1" t="s">
        <v>375</v>
      </c>
      <c r="E69" s="27"/>
      <c r="F69" s="27"/>
      <c r="G69" s="8"/>
      <c r="H69" s="27"/>
      <c r="I69" s="27"/>
      <c r="J69" s="27"/>
      <c r="K69" s="19"/>
    </row>
    <row r="70" spans="5:11" ht="12.75">
      <c r="E70" s="8"/>
      <c r="F70" s="27"/>
      <c r="G70" s="8"/>
      <c r="H70" s="27"/>
      <c r="I70" s="27"/>
      <c r="J70" s="27"/>
      <c r="K70" s="19"/>
    </row>
    <row r="71" spans="3:11" ht="12.75">
      <c r="C71" s="2"/>
      <c r="D71" s="2"/>
      <c r="E71" s="50"/>
      <c r="F71" s="132" t="s">
        <v>377</v>
      </c>
      <c r="G71" s="132"/>
      <c r="H71" s="132" t="s">
        <v>380</v>
      </c>
      <c r="I71" s="132" t="s">
        <v>381</v>
      </c>
      <c r="J71" s="132" t="s">
        <v>383</v>
      </c>
      <c r="K71" s="223"/>
    </row>
    <row r="72" spans="3:11" ht="12.75">
      <c r="C72" s="2"/>
      <c r="D72" s="2"/>
      <c r="E72" s="50"/>
      <c r="F72" s="132" t="s">
        <v>4</v>
      </c>
      <c r="G72" s="132" t="s">
        <v>376</v>
      </c>
      <c r="H72" s="132" t="s">
        <v>5</v>
      </c>
      <c r="I72" s="132" t="s">
        <v>382</v>
      </c>
      <c r="J72" s="132" t="s">
        <v>6</v>
      </c>
      <c r="K72" s="223" t="s">
        <v>361</v>
      </c>
    </row>
    <row r="73" spans="5:11" ht="12.75">
      <c r="E73" s="8"/>
      <c r="F73" s="27"/>
      <c r="G73" s="8"/>
      <c r="H73" s="27"/>
      <c r="I73" s="27"/>
      <c r="J73" s="27"/>
      <c r="K73" s="19"/>
    </row>
    <row r="74" spans="3:11" ht="12.75">
      <c r="C74" s="27" t="s">
        <v>7</v>
      </c>
      <c r="F74" s="44">
        <v>26</v>
      </c>
      <c r="G74" s="116" t="s">
        <v>621</v>
      </c>
      <c r="H74" s="40"/>
      <c r="I74" s="32">
        <v>0.57</v>
      </c>
      <c r="J74" s="27"/>
      <c r="K74" s="19">
        <f>F74*H74*I74</f>
        <v>0</v>
      </c>
    </row>
    <row r="75" spans="5:11" ht="12.75">
      <c r="E75" s="28"/>
      <c r="F75" s="44"/>
      <c r="G75" s="116"/>
      <c r="H75" s="8"/>
      <c r="I75" s="8"/>
      <c r="J75" s="8"/>
      <c r="K75" s="19"/>
    </row>
    <row r="76" spans="3:11" ht="12.75">
      <c r="C76" s="27" t="s">
        <v>630</v>
      </c>
      <c r="F76" s="44"/>
      <c r="G76" s="116"/>
      <c r="H76" s="8"/>
      <c r="I76" s="8"/>
      <c r="J76" s="8"/>
      <c r="K76" s="19"/>
    </row>
    <row r="77" spans="4:11" ht="12.75">
      <c r="D77" s="28" t="s">
        <v>631</v>
      </c>
      <c r="F77" s="44">
        <v>76.82</v>
      </c>
      <c r="G77" s="116" t="s">
        <v>623</v>
      </c>
      <c r="H77" s="30"/>
      <c r="I77" s="34">
        <v>0.57</v>
      </c>
      <c r="J77" s="26"/>
      <c r="K77" s="19">
        <f>F77*H77*I77</f>
        <v>0</v>
      </c>
    </row>
    <row r="78" spans="4:11" ht="12.75">
      <c r="D78" s="8"/>
      <c r="F78" s="44"/>
      <c r="G78" s="116"/>
      <c r="H78" s="116"/>
      <c r="I78" s="34"/>
      <c r="J78" s="26"/>
      <c r="K78" s="19"/>
    </row>
    <row r="79" spans="3:11" ht="12.75">
      <c r="C79" s="27" t="s">
        <v>8</v>
      </c>
      <c r="F79" s="44">
        <v>84.65</v>
      </c>
      <c r="G79" s="116" t="s">
        <v>623</v>
      </c>
      <c r="H79" s="30"/>
      <c r="I79" s="34">
        <v>0.57</v>
      </c>
      <c r="J79" s="8"/>
      <c r="K79" s="19">
        <f>F79*H79*I79</f>
        <v>0</v>
      </c>
    </row>
    <row r="80" spans="4:6" ht="12.75">
      <c r="D80" s="28"/>
      <c r="F80" s="44"/>
    </row>
    <row r="81" spans="3:11" ht="12.75">
      <c r="C81" s="27" t="s">
        <v>622</v>
      </c>
      <c r="F81" s="44">
        <v>297.48</v>
      </c>
      <c r="G81" s="239" t="s">
        <v>624</v>
      </c>
      <c r="H81" s="30"/>
      <c r="I81" s="34">
        <v>0.57</v>
      </c>
      <c r="J81" s="8"/>
      <c r="K81" s="19">
        <f>F81*H81*I81</f>
        <v>0</v>
      </c>
    </row>
    <row r="82" spans="3:11" ht="12.75">
      <c r="C82" s="27"/>
      <c r="F82" s="234" t="s">
        <v>629</v>
      </c>
      <c r="G82" s="239"/>
      <c r="H82" s="34"/>
      <c r="I82" s="34"/>
      <c r="J82" s="8"/>
      <c r="K82" s="19"/>
    </row>
    <row r="83" spans="5:11" ht="12.75">
      <c r="E83" s="8"/>
      <c r="F83" s="44"/>
      <c r="G83" s="116"/>
      <c r="H83" s="8"/>
      <c r="I83" s="8"/>
      <c r="J83" s="8"/>
      <c r="K83" s="19"/>
    </row>
    <row r="84" spans="3:11" ht="12.75">
      <c r="C84" s="27" t="s">
        <v>625</v>
      </c>
      <c r="F84" s="44">
        <v>141.28</v>
      </c>
      <c r="G84" s="116" t="s">
        <v>623</v>
      </c>
      <c r="H84" s="30"/>
      <c r="I84" s="34">
        <v>0.65</v>
      </c>
      <c r="J84" s="8"/>
      <c r="K84" s="19">
        <f>F84*H84*I84</f>
        <v>0</v>
      </c>
    </row>
    <row r="85" spans="5:11" ht="12.75">
      <c r="E85" s="8"/>
      <c r="F85" s="44"/>
      <c r="G85" s="116"/>
      <c r="H85" s="8"/>
      <c r="I85" s="8"/>
      <c r="J85" s="8"/>
      <c r="K85" s="19"/>
    </row>
    <row r="86" spans="3:11" ht="12.75">
      <c r="C86" s="27" t="s">
        <v>626</v>
      </c>
      <c r="F86" s="44">
        <v>156.94</v>
      </c>
      <c r="G86" s="116" t="s">
        <v>623</v>
      </c>
      <c r="H86" s="30"/>
      <c r="I86" s="34">
        <v>0.57</v>
      </c>
      <c r="J86" s="8"/>
      <c r="K86" s="19">
        <f>F86*H86*I86</f>
        <v>0</v>
      </c>
    </row>
    <row r="87" spans="5:11" ht="12.75">
      <c r="E87" s="8"/>
      <c r="F87" s="44"/>
      <c r="G87" s="116"/>
      <c r="H87" s="8"/>
      <c r="I87" s="8"/>
      <c r="J87" s="8"/>
      <c r="K87" s="19"/>
    </row>
    <row r="88" spans="3:11" ht="12.75">
      <c r="C88" s="27" t="s">
        <v>627</v>
      </c>
      <c r="F88" s="44">
        <v>88.2</v>
      </c>
      <c r="G88" s="116" t="s">
        <v>628</v>
      </c>
      <c r="H88" s="30"/>
      <c r="I88" s="34">
        <v>0.65</v>
      </c>
      <c r="J88" s="8"/>
      <c r="K88" s="19">
        <f>F88*H88*I88</f>
        <v>0</v>
      </c>
    </row>
    <row r="89" spans="5:11" ht="12.75">
      <c r="E89" s="8"/>
      <c r="F89" s="44"/>
      <c r="G89" s="116"/>
      <c r="H89" s="8"/>
      <c r="I89" s="8"/>
      <c r="J89" s="8"/>
      <c r="K89" s="19"/>
    </row>
    <row r="90" spans="3:11" ht="12.75">
      <c r="C90" s="27" t="s">
        <v>9</v>
      </c>
      <c r="F90" s="44">
        <v>12</v>
      </c>
      <c r="G90" s="116" t="s">
        <v>1</v>
      </c>
      <c r="H90" s="19">
        <f>F10</f>
        <v>16611</v>
      </c>
      <c r="I90" s="35">
        <v>0.297</v>
      </c>
      <c r="J90" s="26"/>
      <c r="K90" s="19">
        <f>F90*H90*I90</f>
        <v>59201.604</v>
      </c>
    </row>
    <row r="91" spans="3:11" ht="12.75">
      <c r="C91" s="8"/>
      <c r="F91" s="44"/>
      <c r="G91" s="116"/>
      <c r="H91" s="8"/>
      <c r="I91" s="8"/>
      <c r="J91" s="26"/>
      <c r="K91" s="19"/>
    </row>
    <row r="92" spans="3:11" ht="12.75">
      <c r="C92" s="27" t="s">
        <v>10</v>
      </c>
      <c r="F92" s="44">
        <v>15</v>
      </c>
      <c r="G92" s="116" t="s">
        <v>11</v>
      </c>
      <c r="H92" s="33">
        <f>F11</f>
        <v>0</v>
      </c>
      <c r="I92" s="35">
        <v>0.297</v>
      </c>
      <c r="J92" s="26"/>
      <c r="K92" s="19">
        <f>F92*H92*I92</f>
        <v>0</v>
      </c>
    </row>
    <row r="93" spans="3:11" ht="12.75">
      <c r="C93" s="8"/>
      <c r="F93" s="44"/>
      <c r="G93" s="116"/>
      <c r="H93" s="8"/>
      <c r="I93" s="8"/>
      <c r="J93" s="26"/>
      <c r="K93" s="19"/>
    </row>
    <row r="94" spans="3:11" ht="12.75">
      <c r="C94" s="27" t="s">
        <v>12</v>
      </c>
      <c r="F94" s="64">
        <v>67543</v>
      </c>
      <c r="G94" s="116" t="s">
        <v>13</v>
      </c>
      <c r="H94" s="30"/>
      <c r="I94" s="34">
        <v>0.37</v>
      </c>
      <c r="J94" s="26"/>
      <c r="K94" s="19">
        <f>F94*H94*I94</f>
        <v>0</v>
      </c>
    </row>
    <row r="95" spans="3:11" ht="12.75">
      <c r="C95" s="8"/>
      <c r="F95" s="64"/>
      <c r="G95" s="116"/>
      <c r="H95" s="19"/>
      <c r="I95" s="8"/>
      <c r="J95" s="26"/>
      <c r="K95" s="19"/>
    </row>
    <row r="96" spans="3:11" ht="12.75">
      <c r="C96" s="27" t="s">
        <v>14</v>
      </c>
      <c r="F96" s="64">
        <v>52225</v>
      </c>
      <c r="G96" s="116" t="s">
        <v>13</v>
      </c>
      <c r="H96" s="30"/>
      <c r="I96" s="34">
        <v>0.37</v>
      </c>
      <c r="J96" s="26"/>
      <c r="K96" s="19">
        <f>F96*H96*I96</f>
        <v>0</v>
      </c>
    </row>
    <row r="97" spans="3:11" ht="12.75">
      <c r="C97" s="8"/>
      <c r="F97" s="64"/>
      <c r="G97" s="116"/>
      <c r="H97" s="19"/>
      <c r="I97" s="8"/>
      <c r="J97" s="26"/>
      <c r="K97" s="19"/>
    </row>
    <row r="98" spans="3:11" ht="12.75">
      <c r="C98" s="27" t="s">
        <v>15</v>
      </c>
      <c r="F98" s="64">
        <v>49184</v>
      </c>
      <c r="G98" s="116" t="s">
        <v>13</v>
      </c>
      <c r="H98" s="30"/>
      <c r="I98" s="34">
        <v>0.37</v>
      </c>
      <c r="J98" s="26"/>
      <c r="K98" s="19">
        <f>F98*H98*I98</f>
        <v>0</v>
      </c>
    </row>
    <row r="99" spans="5:11" ht="12.75">
      <c r="E99" s="8"/>
      <c r="F99" s="8"/>
      <c r="G99" s="116"/>
      <c r="H99" s="8"/>
      <c r="I99" s="8"/>
      <c r="J99" s="8"/>
      <c r="K99" s="19"/>
    </row>
    <row r="100" spans="2:11" ht="12.75">
      <c r="B100" s="89" t="s">
        <v>385</v>
      </c>
      <c r="C100" s="90"/>
      <c r="D100" s="90"/>
      <c r="E100" s="111"/>
      <c r="F100" s="112"/>
      <c r="G100" s="112"/>
      <c r="H100" s="112"/>
      <c r="I100" s="112"/>
      <c r="J100" s="112"/>
      <c r="K100" s="114">
        <f>SUM(K74:K99)</f>
        <v>59201.604</v>
      </c>
    </row>
    <row r="101" spans="5:11" ht="12.75">
      <c r="E101" s="8"/>
      <c r="F101" s="8"/>
      <c r="G101" s="8"/>
      <c r="H101" s="8"/>
      <c r="I101" s="8"/>
      <c r="J101" s="8"/>
      <c r="K101" s="19"/>
    </row>
    <row r="102" spans="5:11" ht="12.75">
      <c r="E102" s="8"/>
      <c r="F102" s="8"/>
      <c r="G102" s="8"/>
      <c r="H102" s="8"/>
      <c r="I102" s="8"/>
      <c r="J102" s="8"/>
      <c r="K102" s="19"/>
    </row>
    <row r="103" spans="2:11" ht="12.75">
      <c r="B103" s="92" t="s">
        <v>384</v>
      </c>
      <c r="C103" s="83"/>
      <c r="D103" s="83"/>
      <c r="E103" s="93"/>
      <c r="F103" s="130"/>
      <c r="G103" s="130"/>
      <c r="H103" s="130"/>
      <c r="I103" s="130"/>
      <c r="J103" s="130"/>
      <c r="K103" s="99">
        <f>K21+K29+K65+K100</f>
        <v>-4159992.396</v>
      </c>
    </row>
    <row r="104" spans="2:11" ht="12.75">
      <c r="B104" s="354" t="s">
        <v>706</v>
      </c>
      <c r="C104" s="175"/>
      <c r="D104" s="175"/>
      <c r="E104" s="175"/>
      <c r="F104" s="175"/>
      <c r="G104" s="175"/>
      <c r="H104" s="175"/>
      <c r="I104" s="175"/>
      <c r="J104" s="175"/>
      <c r="K104" s="207">
        <f>K21</f>
        <v>0</v>
      </c>
    </row>
    <row r="105" spans="2:11" ht="12.75">
      <c r="B105" s="354" t="s">
        <v>707</v>
      </c>
      <c r="C105" s="175"/>
      <c r="D105" s="175"/>
      <c r="E105" s="175"/>
      <c r="F105" s="175"/>
      <c r="G105" s="175"/>
      <c r="H105" s="175"/>
      <c r="I105" s="175"/>
      <c r="J105" s="175"/>
      <c r="K105" s="207">
        <f>K65</f>
        <v>0</v>
      </c>
    </row>
    <row r="106" spans="2:11" ht="12.75">
      <c r="B106" s="356" t="s">
        <v>708</v>
      </c>
      <c r="C106" s="357"/>
      <c r="D106" s="357"/>
      <c r="E106" s="357"/>
      <c r="F106" s="357"/>
      <c r="G106" s="357"/>
      <c r="H106" s="357"/>
      <c r="I106" s="357"/>
      <c r="J106" s="357"/>
      <c r="K106" s="358">
        <f>K100</f>
        <v>59201.604</v>
      </c>
    </row>
    <row r="107" spans="2:11" ht="12.75">
      <c r="B107" s="354" t="s">
        <v>711</v>
      </c>
      <c r="C107" s="175"/>
      <c r="D107" s="175"/>
      <c r="E107" s="175"/>
      <c r="F107" s="175"/>
      <c r="G107" s="175"/>
      <c r="H107" s="175"/>
      <c r="I107" s="175"/>
      <c r="J107" s="175"/>
      <c r="K107" s="207">
        <f>SUM(K104:K106)</f>
        <v>59201.604</v>
      </c>
    </row>
    <row r="108" spans="2:11" ht="12.75">
      <c r="B108" s="355" t="s">
        <v>709</v>
      </c>
      <c r="C108" s="175"/>
      <c r="D108" s="175"/>
      <c r="E108" s="175"/>
      <c r="F108" s="175"/>
      <c r="G108" s="175"/>
      <c r="H108" s="175"/>
      <c r="I108" s="175"/>
      <c r="J108" s="175"/>
      <c r="K108" s="207">
        <f>K26</f>
        <v>-1328880</v>
      </c>
    </row>
    <row r="109" spans="2:11" ht="12.75">
      <c r="B109" s="355" t="s">
        <v>710</v>
      </c>
      <c r="C109" s="175"/>
      <c r="D109" s="175"/>
      <c r="E109" s="175"/>
      <c r="F109" s="175"/>
      <c r="G109" s="175"/>
      <c r="H109" s="175"/>
      <c r="I109" s="175"/>
      <c r="J109" s="175"/>
      <c r="K109" s="207">
        <f>K27</f>
        <v>-2890314</v>
      </c>
    </row>
  </sheetData>
  <sheetProtection/>
  <protectedRanges>
    <protectedRange sqref="J79 J81:J82 J84 J86 J88" name="Alue9_1"/>
    <protectedRange sqref="H74:H77 H79 H81 H83:H98" name="Alue8_1"/>
    <protectedRange sqref="F74:F77 F79 F81:F98" name="Alue7_1"/>
    <protectedRange sqref="I54:I55 I58:I60 I41:I42 I62:I63 I45:I52 K19" name="Alue5_1"/>
    <protectedRange sqref="F34:F37 F47 F50 F58 F60 F41" name="Alue4_1"/>
    <protectedRange sqref="G26:G27" name="Alue3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4"/>
  <rowBreaks count="1" manualBreakCount="1">
    <brk id="68" max="10" man="1"/>
  </rowBreaks>
  <drawing r:id="rId3"/>
  <legacyDrawing r:id="rId2"/>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1:L59"/>
  <sheetViews>
    <sheetView zoomScalePageLayoutView="0" workbookViewId="0" topLeftCell="A1">
      <selection activeCell="A1" sqref="A1"/>
    </sheetView>
  </sheetViews>
  <sheetFormatPr defaultColWidth="9.140625" defaultRowHeight="12.75"/>
  <cols>
    <col min="1" max="4" width="3.00390625" style="0" customWidth="1"/>
    <col min="5" max="5" width="11.8515625" style="0" customWidth="1"/>
    <col min="6" max="7" width="10.00390625" style="0" customWidth="1"/>
    <col min="8" max="8" width="11.57421875" style="0" customWidth="1"/>
    <col min="9" max="9" width="12.421875" style="0" customWidth="1"/>
    <col min="10" max="11" width="11.7109375" style="0" customWidth="1"/>
    <col min="12" max="12" width="13.421875" style="0" customWidth="1"/>
  </cols>
  <sheetData>
    <row r="1" spans="1:5" ht="18">
      <c r="A1" s="80" t="s">
        <v>717</v>
      </c>
      <c r="E1" s="37"/>
    </row>
    <row r="2" ht="12.75">
      <c r="E2" s="61"/>
    </row>
    <row r="3" spans="2:10" ht="18">
      <c r="B3" s="499" t="s">
        <v>678</v>
      </c>
      <c r="C3" s="500"/>
      <c r="D3" s="500"/>
      <c r="E3" s="500"/>
      <c r="F3" s="500"/>
      <c r="G3" s="500"/>
      <c r="H3" s="500"/>
      <c r="I3" s="500"/>
      <c r="J3" s="501"/>
    </row>
    <row r="5" spans="2:6" ht="12.75">
      <c r="B5" s="55" t="s">
        <v>40</v>
      </c>
      <c r="C5" s="28"/>
      <c r="D5" s="28"/>
      <c r="E5" s="40"/>
      <c r="F5" s="56" t="s">
        <v>364</v>
      </c>
    </row>
    <row r="6" spans="2:6" ht="12.75">
      <c r="B6" s="28"/>
      <c r="C6" s="28"/>
      <c r="D6" s="28"/>
      <c r="E6" s="102"/>
      <c r="F6" s="56" t="s">
        <v>363</v>
      </c>
    </row>
    <row r="8" spans="2:9" s="5" customFormat="1" ht="12.75">
      <c r="B8" s="85" t="s">
        <v>0</v>
      </c>
      <c r="F8" s="11" t="str">
        <f>'2.Yhteenveto'!G11</f>
        <v>Akaa</v>
      </c>
      <c r="G8" s="88"/>
      <c r="H8" s="241" t="s">
        <v>697</v>
      </c>
      <c r="I8" s="28"/>
    </row>
    <row r="9" spans="2:9" s="5" customFormat="1" ht="12.75">
      <c r="B9" s="85" t="str">
        <f>'2.Yhteenveto'!B12</f>
        <v>Asukasluku 31.12.2018:</v>
      </c>
      <c r="F9" s="150">
        <f>'2.Yhteenveto'!$H$12</f>
        <v>16611</v>
      </c>
      <c r="G9" s="88"/>
      <c r="H9" s="241" t="s">
        <v>696</v>
      </c>
      <c r="I9" s="28"/>
    </row>
    <row r="10" ht="12.75">
      <c r="H10" s="241" t="s">
        <v>695</v>
      </c>
    </row>
    <row r="11" spans="2:10" ht="15.75">
      <c r="B11" s="1" t="s">
        <v>388</v>
      </c>
      <c r="E11" s="4"/>
      <c r="J11" s="44"/>
    </row>
    <row r="12" spans="3:10" ht="12.75">
      <c r="C12" s="2"/>
      <c r="E12" s="2"/>
      <c r="F12" s="38"/>
      <c r="G12" s="2"/>
      <c r="H12" s="2"/>
      <c r="J12" s="342"/>
    </row>
    <row r="13" spans="3:11" ht="12.75">
      <c r="C13" s="5" t="s">
        <v>17</v>
      </c>
      <c r="F13" s="2"/>
      <c r="G13" s="2"/>
      <c r="H13" s="97">
        <v>5906.12</v>
      </c>
      <c r="I13" s="343" t="s">
        <v>679</v>
      </c>
      <c r="J13" s="2"/>
      <c r="K13" s="2"/>
    </row>
    <row r="14" spans="3:12" ht="12.75">
      <c r="C14" s="5" t="s">
        <v>18</v>
      </c>
      <c r="F14" s="2"/>
      <c r="G14" s="2"/>
      <c r="H14" s="344">
        <v>0.918461</v>
      </c>
      <c r="I14" s="343" t="s">
        <v>698</v>
      </c>
      <c r="J14" s="2"/>
      <c r="K14" s="2"/>
      <c r="L14" s="66"/>
    </row>
    <row r="15" spans="5:11" ht="12.75">
      <c r="E15" s="2"/>
      <c r="F15" s="2"/>
      <c r="G15" s="2"/>
      <c r="H15" s="39"/>
      <c r="I15" s="2"/>
      <c r="J15" s="2"/>
      <c r="K15" s="2"/>
    </row>
    <row r="16" spans="5:11" ht="12.75">
      <c r="E16" s="2"/>
      <c r="F16" s="2"/>
      <c r="G16" s="2"/>
      <c r="I16" s="146" t="s">
        <v>682</v>
      </c>
      <c r="K16" s="2"/>
    </row>
    <row r="17" spans="5:11" ht="12.75">
      <c r="E17" s="2"/>
      <c r="F17" s="2"/>
      <c r="G17" s="2"/>
      <c r="I17" s="146" t="s">
        <v>20</v>
      </c>
      <c r="J17" s="147" t="s">
        <v>19</v>
      </c>
      <c r="K17" s="2"/>
    </row>
    <row r="18" spans="4:11" ht="12.75">
      <c r="D18" s="174" t="s">
        <v>680</v>
      </c>
      <c r="F18" s="2"/>
      <c r="G18" s="2"/>
      <c r="I18" s="40"/>
      <c r="J18" s="2">
        <f>IF(I18=0,0,IF(I18&lt;40,206,IF(I18&lt;60,100+0.4*(200-I18)+2.1*(60-I18),IF(I18&lt;200,100+0.4*(200-I18),IF(I18&gt;199,100)))))</f>
        <v>0</v>
      </c>
      <c r="K18" s="2"/>
    </row>
    <row r="19" spans="4:11" ht="12.75">
      <c r="D19" s="174" t="s">
        <v>681</v>
      </c>
      <c r="F19" s="2"/>
      <c r="G19" s="2"/>
      <c r="I19" s="40"/>
      <c r="J19" s="2">
        <f>IF(I19=0,0,IF(I19&lt;40,206,IF(I19&lt;60,100+0.4*(200-I19)+2.1*(60-I19),IF(I19&lt;200,100+0.4*(200-I19),IF(I19&gt;199,100)))))</f>
        <v>0</v>
      </c>
      <c r="K19" s="2"/>
    </row>
    <row r="20" spans="3:11" ht="12.75">
      <c r="C20" s="2" t="s">
        <v>3</v>
      </c>
      <c r="F20" s="2"/>
      <c r="G20" s="2"/>
      <c r="I20" s="41">
        <f>I18+I19</f>
        <v>0</v>
      </c>
      <c r="J20" s="2"/>
      <c r="K20" s="2"/>
    </row>
    <row r="21" spans="6:11" ht="12.75">
      <c r="F21" s="2"/>
      <c r="G21" s="2"/>
      <c r="H21" s="39"/>
      <c r="I21" s="2"/>
      <c r="J21" s="2"/>
      <c r="K21" s="2"/>
    </row>
    <row r="22" spans="3:11" ht="12.75">
      <c r="C22" s="2" t="s">
        <v>21</v>
      </c>
      <c r="F22" s="2"/>
      <c r="G22" s="2"/>
      <c r="H22" s="39"/>
      <c r="I22" s="2"/>
      <c r="J22" s="42">
        <f>ROUND(IF(I20=0,100,((I18*J18+I19*J19)/I20)),0)</f>
        <v>100</v>
      </c>
      <c r="K22" s="2"/>
    </row>
    <row r="23" spans="6:11" ht="12.75">
      <c r="F23" s="2"/>
      <c r="G23" s="2"/>
      <c r="H23" s="39"/>
      <c r="I23" s="2"/>
      <c r="J23" s="2"/>
      <c r="K23" s="2"/>
    </row>
    <row r="24" spans="3:11" ht="12.75">
      <c r="C24" s="5" t="s">
        <v>392</v>
      </c>
      <c r="F24" s="2"/>
      <c r="G24" s="2"/>
      <c r="H24" s="39"/>
      <c r="I24" s="2"/>
      <c r="J24" s="43">
        <f>IF(I20=0,H13*H14,H13*H14*J22/100)</f>
        <v>5424.54088132</v>
      </c>
      <c r="K24" s="2"/>
    </row>
    <row r="25" spans="6:11" ht="12.75">
      <c r="F25" s="2"/>
      <c r="G25" s="2"/>
      <c r="H25" s="39"/>
      <c r="I25" s="2"/>
      <c r="J25" s="2"/>
      <c r="K25" s="2"/>
    </row>
    <row r="26" spans="3:11" ht="12.75">
      <c r="C26" s="5" t="s">
        <v>391</v>
      </c>
      <c r="F26" s="2"/>
      <c r="G26" s="2"/>
      <c r="H26" s="39"/>
      <c r="I26" s="2"/>
      <c r="J26" s="31">
        <v>0</v>
      </c>
      <c r="K26" s="2"/>
    </row>
    <row r="27" spans="6:11" ht="12.75">
      <c r="F27" s="2"/>
      <c r="G27" s="2"/>
      <c r="H27" s="39"/>
      <c r="I27" s="2"/>
      <c r="J27" s="2"/>
      <c r="K27" s="2"/>
    </row>
    <row r="28" spans="2:11" ht="12.75">
      <c r="B28" s="136" t="s">
        <v>420</v>
      </c>
      <c r="C28" s="137"/>
      <c r="D28" s="137"/>
      <c r="E28" s="137"/>
      <c r="F28" s="137"/>
      <c r="G28" s="137"/>
      <c r="H28" s="138"/>
      <c r="I28" s="139">
        <f>ROUND(J24+(J24*J26/100),2)</f>
        <v>5424.54</v>
      </c>
      <c r="J28" s="140" t="s">
        <v>685</v>
      </c>
      <c r="K28" s="2"/>
    </row>
    <row r="29" spans="2:11" ht="12.75">
      <c r="B29" s="141" t="s">
        <v>683</v>
      </c>
      <c r="C29" s="142"/>
      <c r="D29" s="142"/>
      <c r="E29" s="142"/>
      <c r="F29" s="142"/>
      <c r="G29" s="142"/>
      <c r="H29" s="143"/>
      <c r="I29" s="144">
        <f>ROUND(0.65*I28,2)</f>
        <v>3525.95</v>
      </c>
      <c r="J29" s="145" t="s">
        <v>685</v>
      </c>
      <c r="K29" s="2"/>
    </row>
    <row r="30" spans="6:11" ht="12.75">
      <c r="F30" s="2"/>
      <c r="G30" s="2"/>
      <c r="H30" s="39"/>
      <c r="I30" s="2"/>
      <c r="J30" s="2"/>
      <c r="K30" s="2"/>
    </row>
    <row r="31" spans="2:11" ht="12.75">
      <c r="B31" s="55" t="s">
        <v>684</v>
      </c>
      <c r="F31" s="2"/>
      <c r="G31" s="2"/>
      <c r="H31" s="39"/>
      <c r="I31" s="2"/>
      <c r="J31" s="2"/>
      <c r="K31" s="2"/>
    </row>
    <row r="32" spans="6:11" ht="12.75">
      <c r="F32" s="2"/>
      <c r="G32" s="2"/>
      <c r="H32" s="39"/>
      <c r="I32" s="2"/>
      <c r="J32" s="2"/>
      <c r="K32" s="2"/>
    </row>
    <row r="33" spans="2:11" ht="15.75">
      <c r="B33" s="1" t="s">
        <v>389</v>
      </c>
      <c r="E33" s="4"/>
      <c r="F33" s="2"/>
      <c r="G33" s="2"/>
      <c r="H33" s="39"/>
      <c r="I33" s="2"/>
      <c r="J33" s="2"/>
      <c r="K33" s="2"/>
    </row>
    <row r="34" spans="6:11" ht="12.75">
      <c r="F34" s="2"/>
      <c r="G34" s="2"/>
      <c r="H34" s="39"/>
      <c r="I34" s="2"/>
      <c r="J34" s="2"/>
      <c r="K34" s="2"/>
    </row>
    <row r="35" spans="6:11" ht="12.75">
      <c r="F35" s="2"/>
      <c r="G35" s="2"/>
      <c r="H35" s="146" t="s">
        <v>682</v>
      </c>
      <c r="I35" s="147" t="s">
        <v>22</v>
      </c>
      <c r="J35" s="2"/>
      <c r="K35" s="2"/>
    </row>
    <row r="36" spans="6:11" ht="12.75">
      <c r="F36" s="2"/>
      <c r="G36" s="2"/>
      <c r="H36" s="146" t="s">
        <v>5</v>
      </c>
      <c r="I36" s="147" t="s">
        <v>686</v>
      </c>
      <c r="J36" s="2"/>
      <c r="K36" s="2"/>
    </row>
    <row r="37" spans="4:11" ht="12.75">
      <c r="D37" s="5" t="s">
        <v>687</v>
      </c>
      <c r="F37" s="2"/>
      <c r="G37" s="2"/>
      <c r="H37" s="40"/>
      <c r="I37" s="31"/>
      <c r="J37" s="9"/>
      <c r="K37" s="2"/>
    </row>
    <row r="38" spans="4:11" ht="12.75">
      <c r="D38" s="5" t="s">
        <v>688</v>
      </c>
      <c r="F38" s="2"/>
      <c r="G38" s="2"/>
      <c r="H38" s="40"/>
      <c r="I38" s="31"/>
      <c r="J38" s="9"/>
      <c r="K38" s="2"/>
    </row>
    <row r="39" spans="3:11" ht="12.75">
      <c r="C39" s="5" t="s">
        <v>689</v>
      </c>
      <c r="F39" s="2"/>
      <c r="G39" s="2"/>
      <c r="H39" s="45">
        <f>(H37*7/12)+(H38*5/12)</f>
        <v>0</v>
      </c>
      <c r="I39" s="45">
        <f>(I37*7/12)+(I38*5/12)</f>
        <v>0</v>
      </c>
      <c r="J39" s="2"/>
      <c r="K39" s="2"/>
    </row>
    <row r="40" spans="6:11" ht="12.75">
      <c r="F40" s="2"/>
      <c r="G40" s="2"/>
      <c r="H40" s="39"/>
      <c r="I40" s="2"/>
      <c r="J40" s="2"/>
      <c r="K40" s="2"/>
    </row>
    <row r="41" spans="3:11" ht="12.75">
      <c r="C41" t="s">
        <v>23</v>
      </c>
      <c r="F41" s="2"/>
      <c r="G41" s="2"/>
      <c r="H41" s="39"/>
      <c r="I41" s="2"/>
      <c r="J41" s="31"/>
      <c r="K41" s="2"/>
    </row>
    <row r="42" spans="6:11" ht="12.75">
      <c r="F42" s="2"/>
      <c r="G42" s="2"/>
      <c r="H42" s="39"/>
      <c r="I42" s="2"/>
      <c r="J42" s="2"/>
      <c r="K42" s="2"/>
    </row>
    <row r="43" spans="6:11" ht="12.75">
      <c r="F43" s="2"/>
      <c r="G43" s="2"/>
      <c r="H43" s="39"/>
      <c r="I43" s="2"/>
      <c r="J43" s="2"/>
      <c r="K43" s="2"/>
    </row>
    <row r="44" spans="3:11" ht="12.75">
      <c r="C44" s="5" t="s">
        <v>24</v>
      </c>
      <c r="F44" s="2"/>
      <c r="G44" s="2"/>
      <c r="H44" s="39"/>
      <c r="I44" s="2"/>
      <c r="J44" s="46">
        <f>I28*(H37*7/12+H38*5/12)</f>
        <v>0</v>
      </c>
      <c r="K44" s="2"/>
    </row>
    <row r="45" spans="3:11" ht="12.75">
      <c r="C45" s="5" t="s">
        <v>694</v>
      </c>
      <c r="F45" s="2"/>
      <c r="G45" s="2"/>
      <c r="H45" s="39"/>
      <c r="I45" s="2"/>
      <c r="J45" s="46">
        <f>I29*(I37*7/12+I38*5/12)</f>
        <v>0</v>
      </c>
      <c r="K45" s="2"/>
    </row>
    <row r="46" spans="3:11" ht="12.75">
      <c r="C46" s="5" t="s">
        <v>25</v>
      </c>
      <c r="F46" s="2"/>
      <c r="G46" s="2"/>
      <c r="H46" s="39"/>
      <c r="J46" s="46">
        <f>I29*J41</f>
        <v>0</v>
      </c>
      <c r="K46" s="2"/>
    </row>
    <row r="47" spans="3:11" ht="12.75">
      <c r="C47" s="5"/>
      <c r="F47" s="2"/>
      <c r="G47" s="2"/>
      <c r="H47" s="39"/>
      <c r="J47" s="46"/>
      <c r="K47" s="2"/>
    </row>
    <row r="48" spans="2:11" ht="12.75">
      <c r="B48" s="1" t="s">
        <v>690</v>
      </c>
      <c r="C48" s="5"/>
      <c r="F48" s="2"/>
      <c r="G48" s="2"/>
      <c r="H48" s="3"/>
      <c r="I48" s="146" t="s">
        <v>682</v>
      </c>
      <c r="J48" s="46"/>
      <c r="K48" s="2"/>
    </row>
    <row r="49" spans="3:11" ht="12.75">
      <c r="C49" s="5"/>
      <c r="F49" s="2"/>
      <c r="G49" s="2"/>
      <c r="H49" s="146" t="s">
        <v>44</v>
      </c>
      <c r="I49" s="146" t="s">
        <v>5</v>
      </c>
      <c r="J49" s="46"/>
      <c r="K49" s="2"/>
    </row>
    <row r="50" spans="3:11" ht="12.75">
      <c r="C50" s="5" t="s">
        <v>691</v>
      </c>
      <c r="F50" s="2"/>
      <c r="G50" s="2"/>
      <c r="H50" s="43">
        <f>J24*1.21</f>
        <v>6563.6944663972</v>
      </c>
      <c r="I50" s="31"/>
      <c r="J50" s="46">
        <f>H50*I50</f>
        <v>0</v>
      </c>
      <c r="K50" s="2"/>
    </row>
    <row r="51" spans="3:11" ht="12.75">
      <c r="C51" s="5" t="s">
        <v>692</v>
      </c>
      <c r="F51" s="2"/>
      <c r="G51" s="2"/>
      <c r="H51" s="43">
        <f>H50*0.65</f>
        <v>4266.40140315818</v>
      </c>
      <c r="I51" s="31"/>
      <c r="J51" s="46">
        <f>H51*I51</f>
        <v>0</v>
      </c>
      <c r="K51" s="2"/>
    </row>
    <row r="52" spans="3:11" ht="12.75">
      <c r="C52" s="5" t="s">
        <v>693</v>
      </c>
      <c r="F52" s="2"/>
      <c r="G52" s="2"/>
      <c r="H52" s="43">
        <f>H50*1.44</f>
        <v>9451.720031611967</v>
      </c>
      <c r="I52" s="31"/>
      <c r="J52" s="46">
        <f>H52*I52</f>
        <v>0</v>
      </c>
      <c r="K52" s="2"/>
    </row>
    <row r="53" spans="3:11" ht="12.75">
      <c r="C53" s="5"/>
      <c r="F53" s="2"/>
      <c r="G53" s="2"/>
      <c r="H53" s="39"/>
      <c r="I53" s="2"/>
      <c r="J53" s="46"/>
      <c r="K53" s="2"/>
    </row>
    <row r="54" ht="12.75">
      <c r="B54" s="55" t="s">
        <v>26</v>
      </c>
    </row>
    <row r="55" ht="12.75">
      <c r="B55" s="55" t="s">
        <v>53</v>
      </c>
    </row>
    <row r="56" ht="12.75">
      <c r="B56" s="55" t="s">
        <v>27</v>
      </c>
    </row>
    <row r="57" spans="3:11" ht="12.75">
      <c r="C57" s="5"/>
      <c r="F57" s="2"/>
      <c r="G57" s="2"/>
      <c r="H57" s="39"/>
      <c r="I57" s="2"/>
      <c r="J57" s="46"/>
      <c r="K57" s="2"/>
    </row>
    <row r="58" spans="2:11" ht="12.75">
      <c r="B58" s="82" t="s">
        <v>390</v>
      </c>
      <c r="C58" s="83"/>
      <c r="D58" s="83"/>
      <c r="E58" s="101"/>
      <c r="F58" s="83"/>
      <c r="G58" s="83"/>
      <c r="H58" s="148"/>
      <c r="I58" s="83"/>
      <c r="J58" s="84">
        <f>SUM(J44:J52)</f>
        <v>0</v>
      </c>
      <c r="K58" s="2"/>
    </row>
    <row r="59" spans="6:10" ht="12.75">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hyperlinks>
    <hyperlink ref="H10" r:id="rId1" display="Yksikköhinnan laskenta 2018 / OPH"/>
    <hyperlink ref="H8" r:id="rId2" display="Lisätiedot lukion valtionosuudesta / OPH"/>
    <hyperlink ref="H9" r:id="rId3" display="Raportti vuoden 2017 yksikköhinnoista / OPH"/>
  </hyperlinks>
  <printOptions/>
  <pageMargins left="0.75" right="0.75" top="1" bottom="1" header="0.4921259845" footer="0.4921259845"/>
  <pageSetup fitToHeight="0" fitToWidth="1"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O10" sqref="O10"/>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62"/>
      <c r="L1" s="62"/>
    </row>
    <row r="2" spans="1:12" ht="12.75">
      <c r="A2" s="62"/>
      <c r="L2" s="62"/>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63"/>
      <c r="L19" s="63"/>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BN105"/>
  <sheetViews>
    <sheetView tabSelected="1" zoomScaleSheetLayoutView="100" zoomScalePageLayoutView="0" workbookViewId="0" topLeftCell="A1">
      <selection activeCell="AM51" sqref="AM51"/>
    </sheetView>
  </sheetViews>
  <sheetFormatPr defaultColWidth="9.140625" defaultRowHeight="12.75"/>
  <cols>
    <col min="1" max="5" width="1.57421875" style="0" customWidth="1"/>
    <col min="6" max="6" width="9.851562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6.421875" style="0" customWidth="1"/>
    <col min="16" max="16" width="4.421875" style="0" customWidth="1"/>
    <col min="17" max="17" width="16.140625" style="0" customWidth="1"/>
    <col min="18" max="18" width="5.421875" style="0" bestFit="1" customWidth="1"/>
    <col min="19" max="19" width="9.28125" style="0" hidden="1" customWidth="1"/>
    <col min="20" max="24" width="1.421875" style="0" hidden="1" customWidth="1"/>
    <col min="25" max="25" width="8.7109375" style="0" hidden="1" customWidth="1"/>
    <col min="26" max="26" width="10.140625" style="0" hidden="1" customWidth="1"/>
    <col min="27" max="27" width="12.140625" style="0" hidden="1" customWidth="1"/>
    <col min="28" max="28" width="12.57421875" style="0" hidden="1" customWidth="1"/>
    <col min="29" max="29" width="9.57421875" style="0" hidden="1" customWidth="1"/>
    <col min="30" max="30" width="11.8515625" style="0" hidden="1" customWidth="1"/>
    <col min="31" max="31" width="14.140625" style="0" hidden="1" customWidth="1"/>
    <col min="32" max="32" width="13.00390625" style="0" hidden="1" customWidth="1"/>
    <col min="33" max="33" width="2.00390625" style="0" hidden="1" customWidth="1"/>
    <col min="34" max="34" width="9.28125" style="0" bestFit="1" customWidth="1"/>
    <col min="35" max="38" width="9.28125" style="0" hidden="1" customWidth="1"/>
    <col min="39" max="44" width="9.28125" style="0" bestFit="1" customWidth="1"/>
    <col min="45" max="45" width="10.57421875" style="0" bestFit="1" customWidth="1"/>
    <col min="46" max="65" width="9.28125" style="0" bestFit="1" customWidth="1"/>
  </cols>
  <sheetData>
    <row r="1" spans="1:32" ht="12.75">
      <c r="A1" s="80" t="s">
        <v>1151</v>
      </c>
      <c r="C1" s="80"/>
      <c r="D1" s="80"/>
      <c r="E1" s="80"/>
      <c r="T1" s="249" t="s">
        <v>635</v>
      </c>
      <c r="U1" s="250"/>
      <c r="V1" s="251"/>
      <c r="W1" s="251"/>
      <c r="X1" s="251"/>
      <c r="Y1" s="250"/>
      <c r="Z1" s="250"/>
      <c r="AA1" s="250"/>
      <c r="AB1" s="250"/>
      <c r="AC1" s="250"/>
      <c r="AD1" s="250"/>
      <c r="AE1" s="250"/>
      <c r="AF1" s="252"/>
    </row>
    <row r="2" spans="2:32" ht="12.75">
      <c r="B2" s="57"/>
      <c r="C2" s="57"/>
      <c r="D2" s="57"/>
      <c r="E2" s="57"/>
      <c r="T2" s="253"/>
      <c r="U2" s="254"/>
      <c r="V2" s="254"/>
      <c r="W2" s="254"/>
      <c r="X2" s="254"/>
      <c r="Y2" s="255"/>
      <c r="Z2" s="255"/>
      <c r="AA2" s="255"/>
      <c r="AB2" s="255"/>
      <c r="AC2" s="255"/>
      <c r="AD2" s="255"/>
      <c r="AE2" s="255"/>
      <c r="AF2" s="256"/>
    </row>
    <row r="3" spans="2:32" ht="18">
      <c r="B3" s="499" t="s">
        <v>1146</v>
      </c>
      <c r="C3" s="500"/>
      <c r="D3" s="500"/>
      <c r="E3" s="500"/>
      <c r="F3" s="500"/>
      <c r="G3" s="500"/>
      <c r="H3" s="500"/>
      <c r="I3" s="500"/>
      <c r="J3" s="500"/>
      <c r="K3" s="500"/>
      <c r="L3" s="500"/>
      <c r="M3" s="501"/>
      <c r="T3" s="253"/>
      <c r="U3" s="504" t="s">
        <v>645</v>
      </c>
      <c r="V3" s="505"/>
      <c r="W3" s="505"/>
      <c r="X3" s="505"/>
      <c r="Y3" s="505"/>
      <c r="Z3" s="505"/>
      <c r="AA3" s="505"/>
      <c r="AB3" s="505"/>
      <c r="AC3" s="505"/>
      <c r="AD3" s="505"/>
      <c r="AE3" s="505"/>
      <c r="AF3" s="506"/>
    </row>
    <row r="4" spans="20:32" ht="12.75">
      <c r="T4" s="253"/>
      <c r="U4" s="255"/>
      <c r="V4" s="255"/>
      <c r="W4" s="255"/>
      <c r="X4" s="255"/>
      <c r="Y4" s="255"/>
      <c r="Z4" s="255"/>
      <c r="AA4" s="255"/>
      <c r="AB4" s="255"/>
      <c r="AC4" s="255"/>
      <c r="AD4" s="255"/>
      <c r="AE4" s="255"/>
      <c r="AF4" s="256"/>
    </row>
    <row r="5" spans="4:32" ht="12.75">
      <c r="D5" s="151" t="s">
        <v>398</v>
      </c>
      <c r="T5" s="253"/>
      <c r="U5" s="255"/>
      <c r="V5" s="255"/>
      <c r="W5" s="255"/>
      <c r="X5" s="255"/>
      <c r="Y5" s="257" t="s">
        <v>398</v>
      </c>
      <c r="Z5" s="255"/>
      <c r="AA5" s="255"/>
      <c r="AB5" s="255"/>
      <c r="AC5" s="255"/>
      <c r="AD5" s="255"/>
      <c r="AE5" s="255"/>
      <c r="AF5" s="256"/>
    </row>
    <row r="6" spans="6:32" ht="12.75">
      <c r="F6" s="152"/>
      <c r="G6" s="65" t="s">
        <v>401</v>
      </c>
      <c r="T6" s="253"/>
      <c r="U6" s="255"/>
      <c r="V6" s="255"/>
      <c r="W6" s="255"/>
      <c r="X6" s="255"/>
      <c r="Y6" s="258"/>
      <c r="Z6" s="259" t="s">
        <v>401</v>
      </c>
      <c r="AA6" s="255"/>
      <c r="AB6" s="255"/>
      <c r="AC6" s="255"/>
      <c r="AD6" s="255"/>
      <c r="AE6" s="255"/>
      <c r="AF6" s="256"/>
    </row>
    <row r="7" spans="6:32" ht="12.75">
      <c r="F7" s="77"/>
      <c r="G7" s="65" t="s">
        <v>402</v>
      </c>
      <c r="T7" s="253"/>
      <c r="U7" s="255"/>
      <c r="V7" s="255"/>
      <c r="W7" s="255"/>
      <c r="X7" s="255"/>
      <c r="Y7" s="260"/>
      <c r="Z7" s="259" t="s">
        <v>402</v>
      </c>
      <c r="AA7" s="255"/>
      <c r="AB7" s="255"/>
      <c r="AC7" s="255"/>
      <c r="AD7" s="255"/>
      <c r="AE7" s="255"/>
      <c r="AF7" s="256"/>
    </row>
    <row r="8" spans="6:32" ht="12.75">
      <c r="F8" s="65"/>
      <c r="G8" s="65"/>
      <c r="T8" s="253"/>
      <c r="U8" s="255"/>
      <c r="V8" s="255"/>
      <c r="W8" s="255"/>
      <c r="X8" s="255"/>
      <c r="Y8" s="259"/>
      <c r="Z8" s="259"/>
      <c r="AA8" s="255"/>
      <c r="AB8" s="255"/>
      <c r="AC8" s="255"/>
      <c r="AD8" s="255"/>
      <c r="AE8" s="255"/>
      <c r="AF8" s="256"/>
    </row>
    <row r="9" spans="4:32" ht="12.75">
      <c r="D9" s="66" t="s">
        <v>647</v>
      </c>
      <c r="T9" s="253"/>
      <c r="U9" s="255"/>
      <c r="V9" s="255"/>
      <c r="W9" s="255"/>
      <c r="X9" s="255"/>
      <c r="Y9" s="255"/>
      <c r="Z9" s="255"/>
      <c r="AA9" s="255"/>
      <c r="AB9" s="255"/>
      <c r="AC9" s="255"/>
      <c r="AD9" s="255"/>
      <c r="AE9" s="255"/>
      <c r="AF9" s="256"/>
    </row>
    <row r="10" spans="20:32" ht="12.75">
      <c r="T10" s="253"/>
      <c r="U10" s="255"/>
      <c r="V10" s="255"/>
      <c r="W10" s="255"/>
      <c r="X10" s="255"/>
      <c r="Y10" s="255"/>
      <c r="Z10" s="255"/>
      <c r="AA10" s="255"/>
      <c r="AB10" s="255"/>
      <c r="AC10" s="255"/>
      <c r="AD10" s="255"/>
      <c r="AE10" s="255"/>
      <c r="AF10" s="256"/>
    </row>
    <row r="11" spans="2:32" ht="18">
      <c r="B11" s="1" t="s">
        <v>0</v>
      </c>
      <c r="F11" s="155"/>
      <c r="G11" s="502" t="s">
        <v>59</v>
      </c>
      <c r="H11" s="503"/>
      <c r="I11" s="66" t="s">
        <v>394</v>
      </c>
      <c r="T11" s="253"/>
      <c r="U11" s="261" t="s">
        <v>0</v>
      </c>
      <c r="V11" s="255"/>
      <c r="W11" s="255"/>
      <c r="X11" s="255"/>
      <c r="Y11" s="255"/>
      <c r="Z11" s="507" t="str">
        <f>G11</f>
        <v>Akaa</v>
      </c>
      <c r="AA11" s="507"/>
      <c r="AB11" s="262" t="s">
        <v>394</v>
      </c>
      <c r="AC11" s="255"/>
      <c r="AD11" s="255"/>
      <c r="AE11" s="255"/>
      <c r="AF11" s="256"/>
    </row>
    <row r="12" spans="2:32" ht="15.75">
      <c r="B12" s="1" t="s">
        <v>1147</v>
      </c>
      <c r="H12" s="154">
        <f>INDEX(vosC,MATCH($G$11,kunta,0),1,1)</f>
        <v>16611</v>
      </c>
      <c r="I12" s="66"/>
      <c r="T12" s="253"/>
      <c r="U12" s="261" t="s">
        <v>646</v>
      </c>
      <c r="V12" s="255"/>
      <c r="W12" s="255"/>
      <c r="X12" s="255"/>
      <c r="Y12" s="255"/>
      <c r="Z12" s="255"/>
      <c r="AA12" s="263">
        <f>INDEX(vosC,MATCH($G$11,kunta,0),1,1)</f>
        <v>16611</v>
      </c>
      <c r="AB12" s="262" t="s">
        <v>396</v>
      </c>
      <c r="AC12" s="255"/>
      <c r="AD12" s="255"/>
      <c r="AE12" s="255"/>
      <c r="AF12" s="256"/>
    </row>
    <row r="13" spans="2:32" ht="14.25">
      <c r="B13" s="47"/>
      <c r="C13" s="47"/>
      <c r="D13" s="47"/>
      <c r="E13" s="47"/>
      <c r="M13" s="3"/>
      <c r="T13" s="253"/>
      <c r="U13" s="264"/>
      <c r="V13" s="264"/>
      <c r="W13" s="264"/>
      <c r="X13" s="264"/>
      <c r="Y13" s="255"/>
      <c r="Z13" s="255"/>
      <c r="AA13" s="255"/>
      <c r="AB13" s="255"/>
      <c r="AC13" s="255"/>
      <c r="AD13" s="255"/>
      <c r="AE13" s="255"/>
      <c r="AF13" s="265"/>
    </row>
    <row r="14" spans="2:32" ht="12.75">
      <c r="B14" s="1" t="s">
        <v>39</v>
      </c>
      <c r="L14" s="66"/>
      <c r="M14" s="67"/>
      <c r="T14" s="253"/>
      <c r="U14" s="261" t="s">
        <v>39</v>
      </c>
      <c r="V14" s="255"/>
      <c r="W14" s="255"/>
      <c r="X14" s="255"/>
      <c r="Y14" s="255"/>
      <c r="Z14" s="255"/>
      <c r="AA14" s="255"/>
      <c r="AB14" s="255"/>
      <c r="AC14" s="255"/>
      <c r="AD14" s="255"/>
      <c r="AE14" s="262"/>
      <c r="AF14" s="266"/>
    </row>
    <row r="15" spans="2:32" ht="12.75">
      <c r="B15" s="1"/>
      <c r="L15" s="66"/>
      <c r="M15" s="67"/>
      <c r="T15" s="253"/>
      <c r="U15" s="261"/>
      <c r="V15" s="255"/>
      <c r="W15" s="255"/>
      <c r="X15" s="255"/>
      <c r="Y15" s="255"/>
      <c r="Z15" s="255"/>
      <c r="AA15" s="255"/>
      <c r="AB15" s="255"/>
      <c r="AC15" s="255"/>
      <c r="AD15" s="255"/>
      <c r="AE15" s="262"/>
      <c r="AF15" s="266"/>
    </row>
    <row r="16" spans="2:32" ht="12.75">
      <c r="B16" s="1" t="s">
        <v>656</v>
      </c>
      <c r="C16" s="1"/>
      <c r="D16" s="1"/>
      <c r="E16" s="1"/>
      <c r="L16" s="66" t="s">
        <v>361</v>
      </c>
      <c r="M16" s="66" t="s">
        <v>399</v>
      </c>
      <c r="T16" s="253"/>
      <c r="U16" s="261" t="s">
        <v>355</v>
      </c>
      <c r="V16" s="261"/>
      <c r="W16" s="261"/>
      <c r="X16" s="261"/>
      <c r="Y16" s="255"/>
      <c r="Z16" s="255"/>
      <c r="AA16" s="255"/>
      <c r="AB16" s="255"/>
      <c r="AC16" s="255"/>
      <c r="AD16" s="255"/>
      <c r="AE16" s="262" t="s">
        <v>361</v>
      </c>
      <c r="AF16" s="267" t="s">
        <v>399</v>
      </c>
    </row>
    <row r="17" spans="20:32" ht="12.75">
      <c r="T17" s="253"/>
      <c r="U17" s="255"/>
      <c r="V17" s="255"/>
      <c r="W17" s="255"/>
      <c r="X17" s="255"/>
      <c r="Y17" s="255"/>
      <c r="Z17" s="255"/>
      <c r="AA17" s="255"/>
      <c r="AB17" s="255"/>
      <c r="AC17" s="255"/>
      <c r="AD17" s="255"/>
      <c r="AE17" s="255"/>
      <c r="AF17" s="256"/>
    </row>
    <row r="18" spans="4:32" ht="12.75">
      <c r="D18" s="5" t="s">
        <v>365</v>
      </c>
      <c r="E18" s="5"/>
      <c r="F18" s="5"/>
      <c r="L18" s="79">
        <f>'3.Ikärakenne'!H24</f>
        <v>60600515.260000005</v>
      </c>
      <c r="M18" s="361">
        <f>L18/$H$12</f>
        <v>3648.2159568960333</v>
      </c>
      <c r="T18" s="253"/>
      <c r="U18" s="255"/>
      <c r="V18" s="255"/>
      <c r="W18" s="255" t="s">
        <v>365</v>
      </c>
      <c r="X18" s="255"/>
      <c r="Y18" s="255"/>
      <c r="Z18" s="255"/>
      <c r="AA18" s="255"/>
      <c r="AB18" s="255"/>
      <c r="AC18" s="255"/>
      <c r="AD18" s="255"/>
      <c r="AE18" s="268">
        <f>'3.Ikärakenne'!Z24</f>
        <v>0</v>
      </c>
      <c r="AF18" s="269">
        <f>AE18/$H$12</f>
        <v>0</v>
      </c>
    </row>
    <row r="19" spans="13:32" ht="12.75">
      <c r="M19" s="361"/>
      <c r="T19" s="253"/>
      <c r="U19" s="255"/>
      <c r="V19" s="255"/>
      <c r="W19" s="255"/>
      <c r="X19" s="255"/>
      <c r="Y19" s="255"/>
      <c r="Z19" s="255"/>
      <c r="AA19" s="255"/>
      <c r="AB19" s="255"/>
      <c r="AC19" s="255"/>
      <c r="AD19" s="255"/>
      <c r="AE19" s="255"/>
      <c r="AF19" s="269"/>
    </row>
    <row r="20" spans="4:32" ht="12.75">
      <c r="D20" s="5" t="s">
        <v>491</v>
      </c>
      <c r="E20" s="5"/>
      <c r="F20" s="5"/>
      <c r="L20" s="79">
        <f>'4.Muut lask. kustannukset'!J15</f>
        <v>18484175.863090288</v>
      </c>
      <c r="M20" s="361">
        <f>L20/$H$12</f>
        <v>1112.7671942140923</v>
      </c>
      <c r="T20" s="253"/>
      <c r="U20" s="255"/>
      <c r="V20" s="255"/>
      <c r="W20" s="255" t="s">
        <v>491</v>
      </c>
      <c r="X20" s="255"/>
      <c r="Y20" s="255"/>
      <c r="Z20" s="255"/>
      <c r="AA20" s="255"/>
      <c r="AB20" s="255"/>
      <c r="AC20" s="255"/>
      <c r="AD20" s="255"/>
      <c r="AE20" s="268">
        <f>'4.Muut lask. kustannukset'!AB15</f>
        <v>0</v>
      </c>
      <c r="AF20" s="269">
        <f>AE20/$H$12</f>
        <v>0</v>
      </c>
    </row>
    <row r="21" spans="13:32" ht="12.75">
      <c r="M21" s="361"/>
      <c r="P21" s="297"/>
      <c r="Q21" s="298" t="s">
        <v>651</v>
      </c>
      <c r="R21" s="299"/>
      <c r="T21" s="253"/>
      <c r="U21" s="255"/>
      <c r="V21" s="255"/>
      <c r="W21" s="255"/>
      <c r="X21" s="255"/>
      <c r="Y21" s="255"/>
      <c r="Z21" s="255"/>
      <c r="AA21" s="255"/>
      <c r="AB21" s="255"/>
      <c r="AC21" s="255"/>
      <c r="AD21" s="255"/>
      <c r="AE21" s="255"/>
      <c r="AF21" s="269"/>
    </row>
    <row r="22" spans="4:32" ht="13.5" thickBot="1">
      <c r="D22" s="159" t="s">
        <v>492</v>
      </c>
      <c r="E22" s="109"/>
      <c r="F22" s="109"/>
      <c r="G22" s="109"/>
      <c r="H22" s="109"/>
      <c r="I22" s="109"/>
      <c r="J22" s="243"/>
      <c r="K22" s="244"/>
      <c r="L22" s="245">
        <f>'4.Muut lask. kustannukset'!J79</f>
        <v>2562167.7783521647</v>
      </c>
      <c r="M22" s="362">
        <f>L22/$H$12</f>
        <v>154.24524582217595</v>
      </c>
      <c r="P22" s="300"/>
      <c r="Q22" s="301" t="s">
        <v>650</v>
      </c>
      <c r="R22" s="302"/>
      <c r="T22" s="253"/>
      <c r="U22" s="255"/>
      <c r="V22" s="255"/>
      <c r="W22" s="270" t="s">
        <v>492</v>
      </c>
      <c r="X22" s="270"/>
      <c r="Y22" s="270"/>
      <c r="Z22" s="270"/>
      <c r="AA22" s="270"/>
      <c r="AB22" s="270"/>
      <c r="AC22" s="271"/>
      <c r="AD22" s="272"/>
      <c r="AE22" s="273">
        <f>'4.Muut lask. kustannukset'!AB79</f>
        <v>0</v>
      </c>
      <c r="AF22" s="274">
        <f>AE22/$H$12</f>
        <v>0</v>
      </c>
    </row>
    <row r="23" spans="3:32" ht="13.5" thickTop="1">
      <c r="C23" s="5" t="s">
        <v>648</v>
      </c>
      <c r="D23" s="5"/>
      <c r="J23" s="33"/>
      <c r="K23" s="3"/>
      <c r="L23" s="246">
        <f>SUM(L18:L22)</f>
        <v>81646858.90144247</v>
      </c>
      <c r="M23" s="361">
        <f>L23/$H$12</f>
        <v>4915.228396932302</v>
      </c>
      <c r="P23" s="303"/>
      <c r="Q23" s="304">
        <v>0.2547</v>
      </c>
      <c r="R23" s="305"/>
      <c r="T23" s="253"/>
      <c r="U23" s="255"/>
      <c r="V23" s="255" t="s">
        <v>643</v>
      </c>
      <c r="W23" s="255"/>
      <c r="X23" s="255"/>
      <c r="Y23" s="255"/>
      <c r="Z23" s="255"/>
      <c r="AA23" s="255"/>
      <c r="AB23" s="255"/>
      <c r="AC23" s="275"/>
      <c r="AD23" s="276"/>
      <c r="AE23" s="275">
        <f>SUM(AE18:AE22)</f>
        <v>0</v>
      </c>
      <c r="AF23" s="269">
        <f>AE23/$H$12</f>
        <v>0</v>
      </c>
    </row>
    <row r="24" spans="13:32" ht="12.75">
      <c r="M24" s="361"/>
      <c r="P24" s="306"/>
      <c r="Q24" s="298" t="s">
        <v>652</v>
      </c>
      <c r="R24" s="307"/>
      <c r="T24" s="253"/>
      <c r="U24" s="255"/>
      <c r="V24" s="255"/>
      <c r="W24" s="255"/>
      <c r="X24" s="255"/>
      <c r="Y24" s="255"/>
      <c r="Z24" s="255"/>
      <c r="AA24" s="255"/>
      <c r="AB24" s="255"/>
      <c r="AC24" s="255"/>
      <c r="AD24" s="255"/>
      <c r="AE24" s="255"/>
      <c r="AF24" s="269"/>
    </row>
    <row r="25" spans="3:32" ht="13.5" thickBot="1">
      <c r="C25" s="159" t="s">
        <v>649</v>
      </c>
      <c r="D25" s="109"/>
      <c r="E25" s="159"/>
      <c r="F25" s="109"/>
      <c r="G25" s="109"/>
      <c r="H25" s="109"/>
      <c r="I25" s="109"/>
      <c r="J25" s="247">
        <f>tiedot!$H$2*(-1)</f>
        <v>-3664.46</v>
      </c>
      <c r="K25" s="184" t="s">
        <v>1</v>
      </c>
      <c r="L25" s="245">
        <f>$J$25*$H$12</f>
        <v>-60870345.06</v>
      </c>
      <c r="M25" s="362">
        <f>L25/$H$12</f>
        <v>-3664.46</v>
      </c>
      <c r="P25" s="308"/>
      <c r="Q25" s="301" t="s">
        <v>650</v>
      </c>
      <c r="R25" s="309"/>
      <c r="T25" s="253"/>
      <c r="U25" s="255"/>
      <c r="V25" s="270" t="s">
        <v>353</v>
      </c>
      <c r="W25" s="270"/>
      <c r="X25" s="270"/>
      <c r="Y25" s="270"/>
      <c r="Z25" s="270"/>
      <c r="AA25" s="270"/>
      <c r="AB25" s="270"/>
      <c r="AC25" s="277">
        <f>tiedot!$H$2*(-1)</f>
        <v>-3664.46</v>
      </c>
      <c r="AD25" s="278" t="s">
        <v>1</v>
      </c>
      <c r="AE25" s="273">
        <f>AC25*AA12</f>
        <v>-60870345.06</v>
      </c>
      <c r="AF25" s="274">
        <f>AE25/$H$12</f>
        <v>-3664.46</v>
      </c>
    </row>
    <row r="26" spans="3:32" ht="13.5" thickTop="1">
      <c r="C26" s="5" t="s">
        <v>644</v>
      </c>
      <c r="E26" s="5"/>
      <c r="J26" s="66"/>
      <c r="K26" s="66"/>
      <c r="L26" s="217">
        <f>L23+L25</f>
        <v>20776513.841442466</v>
      </c>
      <c r="M26" s="361">
        <f>L26/$H$12</f>
        <v>1250.7683969323018</v>
      </c>
      <c r="O26" s="248"/>
      <c r="P26" s="158"/>
      <c r="Q26" s="304">
        <f>L26/L23</f>
        <v>0.2544680116417241</v>
      </c>
      <c r="R26" s="310"/>
      <c r="T26" s="253"/>
      <c r="U26" s="255"/>
      <c r="V26" s="255" t="s">
        <v>644</v>
      </c>
      <c r="W26" s="255"/>
      <c r="X26" s="255"/>
      <c r="Y26" s="255"/>
      <c r="Z26" s="255"/>
      <c r="AA26" s="255"/>
      <c r="AB26" s="255"/>
      <c r="AC26" s="262"/>
      <c r="AD26" s="262"/>
      <c r="AE26" s="279">
        <f>AE23+AE25</f>
        <v>-60870345.06</v>
      </c>
      <c r="AF26" s="269">
        <f>AE26/$H$12</f>
        <v>-3664.46</v>
      </c>
    </row>
    <row r="27" spans="13:32" ht="12.75">
      <c r="M27" s="361"/>
      <c r="T27" s="253"/>
      <c r="U27" s="255"/>
      <c r="V27" s="255"/>
      <c r="W27" s="255"/>
      <c r="X27" s="255"/>
      <c r="Y27" s="255"/>
      <c r="Z27" s="255"/>
      <c r="AA27" s="255"/>
      <c r="AB27" s="255"/>
      <c r="AC27" s="255"/>
      <c r="AD27" s="255"/>
      <c r="AE27" s="255"/>
      <c r="AF27" s="269"/>
    </row>
    <row r="28" spans="4:32" ht="12.75">
      <c r="D28" s="5" t="s">
        <v>493</v>
      </c>
      <c r="E28" s="5"/>
      <c r="F28" s="5"/>
      <c r="L28" s="78">
        <f>'5.Lisäosat'!J35</f>
        <v>293257.10143705545</v>
      </c>
      <c r="M28" s="361">
        <f>L28/$H$12</f>
        <v>17.65439175468397</v>
      </c>
      <c r="O28" s="248">
        <f>L28/$L$48</f>
        <v>0.01151928993023611</v>
      </c>
      <c r="T28" s="253"/>
      <c r="U28" s="255"/>
      <c r="V28" s="255"/>
      <c r="W28" s="255" t="s">
        <v>493</v>
      </c>
      <c r="X28" s="255"/>
      <c r="Y28" s="255"/>
      <c r="Z28" s="255"/>
      <c r="AA28" s="255"/>
      <c r="AB28" s="255"/>
      <c r="AC28" s="255"/>
      <c r="AD28" s="255"/>
      <c r="AE28" s="280">
        <f>'5.Lisäosat'!AB35</f>
        <v>0</v>
      </c>
      <c r="AF28" s="269">
        <f>AE28/$H$12</f>
        <v>0</v>
      </c>
    </row>
    <row r="29" spans="13:32" ht="12.75">
      <c r="M29" s="361"/>
      <c r="T29" s="253"/>
      <c r="U29" s="255"/>
      <c r="V29" s="255"/>
      <c r="W29" s="255"/>
      <c r="X29" s="255"/>
      <c r="Y29" s="255"/>
      <c r="Z29" s="255"/>
      <c r="AA29" s="255"/>
      <c r="AB29" s="255"/>
      <c r="AC29" s="255"/>
      <c r="AD29" s="255"/>
      <c r="AE29" s="255"/>
      <c r="AF29" s="269"/>
    </row>
    <row r="30" spans="4:32" ht="12.75">
      <c r="D30" t="s">
        <v>46</v>
      </c>
      <c r="L30" s="78">
        <f>'6.Vähennykset ja lisäykset'!I70</f>
        <v>-1745648.4060230223</v>
      </c>
      <c r="M30" s="361">
        <f>L30/$H$12</f>
        <v>-105.08990464288858</v>
      </c>
      <c r="O30" s="248">
        <f>L30/$L$48</f>
        <v>-0.06856996814977326</v>
      </c>
      <c r="T30" s="253"/>
      <c r="U30" s="255"/>
      <c r="V30" s="255"/>
      <c r="W30" s="255" t="s">
        <v>46</v>
      </c>
      <c r="X30" s="255"/>
      <c r="Y30" s="255"/>
      <c r="Z30" s="255"/>
      <c r="AA30" s="255"/>
      <c r="AB30" s="255"/>
      <c r="AC30" s="255"/>
      <c r="AD30" s="255"/>
      <c r="AE30" s="280">
        <f>'6.Vähennykset ja lisäykset'!AA70</f>
        <v>0</v>
      </c>
      <c r="AF30" s="269">
        <f>AE30/$H$12</f>
        <v>0</v>
      </c>
    </row>
    <row r="31" spans="5:32" ht="12.75">
      <c r="E31" s="240" t="s">
        <v>716</v>
      </c>
      <c r="L31" s="64">
        <f>'6.Vähennykset ja lisäykset'!I46</f>
        <v>-845796.7925418238</v>
      </c>
      <c r="M31" s="361">
        <f>L31/$H$12</f>
        <v>-50.91787324916163</v>
      </c>
      <c r="O31" s="248">
        <f>L31/$L$48</f>
        <v>-0.033223333476356615</v>
      </c>
      <c r="T31" s="253"/>
      <c r="U31" s="255"/>
      <c r="V31" s="255"/>
      <c r="W31" s="255"/>
      <c r="X31" s="255"/>
      <c r="Y31" s="255"/>
      <c r="Z31" s="255"/>
      <c r="AA31" s="255"/>
      <c r="AB31" s="255"/>
      <c r="AC31" s="255"/>
      <c r="AD31" s="255"/>
      <c r="AE31" s="311"/>
      <c r="AF31" s="269"/>
    </row>
    <row r="32" spans="13:32" ht="12.75" hidden="1">
      <c r="M32" s="361"/>
      <c r="T32" s="253"/>
      <c r="U32" s="255"/>
      <c r="V32" s="255"/>
      <c r="W32" s="255"/>
      <c r="X32" s="255"/>
      <c r="Y32" s="255"/>
      <c r="Z32" s="255"/>
      <c r="AA32" s="255"/>
      <c r="AB32" s="255"/>
      <c r="AC32" s="255"/>
      <c r="AD32" s="255"/>
      <c r="AE32" s="255"/>
      <c r="AF32" s="269"/>
    </row>
    <row r="33" spans="4:32" ht="12.75" hidden="1">
      <c r="D33" s="5" t="s">
        <v>578</v>
      </c>
      <c r="L33" s="78">
        <f>'7.Järjestelmämuutos 2015'!J22</f>
        <v>0</v>
      </c>
      <c r="M33" s="361">
        <f>L33/$H$12</f>
        <v>0</v>
      </c>
      <c r="O33" s="248">
        <f>L33/$L$48</f>
        <v>0</v>
      </c>
      <c r="T33" s="253"/>
      <c r="U33" s="255"/>
      <c r="V33" s="255"/>
      <c r="W33" s="255" t="s">
        <v>578</v>
      </c>
      <c r="X33" s="255"/>
      <c r="Y33" s="255"/>
      <c r="Z33" s="255"/>
      <c r="AA33" s="255"/>
      <c r="AB33" s="255"/>
      <c r="AC33" s="255"/>
      <c r="AD33" s="255"/>
      <c r="AE33" s="280">
        <f>'7.Järjestelmämuutos 2015'!AB25</f>
        <v>0</v>
      </c>
      <c r="AF33" s="269">
        <f>AE33/$H$12</f>
        <v>0</v>
      </c>
    </row>
    <row r="34" spans="2:32" ht="12.75">
      <c r="B34" s="53"/>
      <c r="C34" s="156"/>
      <c r="D34" s="156"/>
      <c r="E34" s="156"/>
      <c r="F34" s="156"/>
      <c r="G34" s="156"/>
      <c r="H34" s="156"/>
      <c r="I34" s="156"/>
      <c r="J34" s="156"/>
      <c r="K34" s="156"/>
      <c r="L34" s="156"/>
      <c r="M34" s="363"/>
      <c r="T34" s="253"/>
      <c r="U34" s="255"/>
      <c r="V34" s="281"/>
      <c r="W34" s="281"/>
      <c r="X34" s="281"/>
      <c r="Y34" s="281"/>
      <c r="Z34" s="281"/>
      <c r="AA34" s="281"/>
      <c r="AB34" s="281"/>
      <c r="AC34" s="281"/>
      <c r="AD34" s="281"/>
      <c r="AE34" s="281"/>
      <c r="AF34" s="282"/>
    </row>
    <row r="35" spans="3:32" ht="12.75">
      <c r="C35" s="1" t="s">
        <v>653</v>
      </c>
      <c r="D35" s="1"/>
      <c r="E35" s="1"/>
      <c r="L35" s="58">
        <f>SUM(L26:L30)</f>
        <v>19324122.5368565</v>
      </c>
      <c r="M35" s="364">
        <f>L35/$H$12</f>
        <v>1163.3328840440972</v>
      </c>
      <c r="O35" s="248">
        <f>L35/$L$48</f>
        <v>0.7590614824283753</v>
      </c>
      <c r="T35" s="253"/>
      <c r="U35" s="255"/>
      <c r="V35" s="261" t="s">
        <v>354</v>
      </c>
      <c r="W35" s="261"/>
      <c r="X35" s="261"/>
      <c r="Y35" s="255"/>
      <c r="Z35" s="255"/>
      <c r="AA35" s="255"/>
      <c r="AB35" s="255"/>
      <c r="AC35" s="255"/>
      <c r="AD35" s="255"/>
      <c r="AE35" s="283">
        <f>SUM(AE26:AE33)</f>
        <v>-60870345.06</v>
      </c>
      <c r="AF35" s="284">
        <f>AE35/$H$12</f>
        <v>-3664.46</v>
      </c>
    </row>
    <row r="36" spans="13:32" ht="12.75">
      <c r="M36" s="64"/>
      <c r="T36" s="253"/>
      <c r="U36" s="255"/>
      <c r="V36" s="255"/>
      <c r="W36" s="255"/>
      <c r="X36" s="255"/>
      <c r="Y36" s="255"/>
      <c r="Z36" s="255"/>
      <c r="AA36" s="255"/>
      <c r="AB36" s="255"/>
      <c r="AC36" s="255"/>
      <c r="AD36" s="255"/>
      <c r="AE36" s="255"/>
      <c r="AF36" s="256"/>
    </row>
    <row r="37" spans="3:32" ht="12.75">
      <c r="C37" s="5" t="s">
        <v>654</v>
      </c>
      <c r="D37" s="5"/>
      <c r="E37" s="5"/>
      <c r="L37" s="153">
        <f>INDEX(tasa_1,MATCH($G$11,kunta,0),1,1)</f>
        <v>8743221.248959173</v>
      </c>
      <c r="M37" s="361">
        <f>L37/$H$12</f>
        <v>526.3512882402729</v>
      </c>
      <c r="O37" s="248">
        <f>L37/$L$48</f>
        <v>0.3434382321772329</v>
      </c>
      <c r="T37" s="253"/>
      <c r="U37" s="255"/>
      <c r="V37" s="255" t="s">
        <v>356</v>
      </c>
      <c r="W37" s="255"/>
      <c r="X37" s="255"/>
      <c r="Y37" s="255"/>
      <c r="Z37" s="255"/>
      <c r="AA37" s="255"/>
      <c r="AB37" s="255"/>
      <c r="AC37" s="255"/>
      <c r="AD37" s="255"/>
      <c r="AE37" s="285">
        <f>INDEX(tasa_1,MATCH($G$11,kunta,0),1,1)</f>
        <v>8743221.248959173</v>
      </c>
      <c r="AF37" s="269">
        <f>AE37/$H$12</f>
        <v>526.3512882402729</v>
      </c>
    </row>
    <row r="38" spans="2:32" ht="13.5" thickBot="1">
      <c r="B38" s="109"/>
      <c r="C38" s="109"/>
      <c r="D38" s="109"/>
      <c r="E38" s="109"/>
      <c r="F38" s="109"/>
      <c r="G38" s="109"/>
      <c r="H38" s="109"/>
      <c r="I38" s="109"/>
      <c r="J38" s="109"/>
      <c r="K38" s="109"/>
      <c r="L38" s="109"/>
      <c r="M38" s="362"/>
      <c r="T38" s="253"/>
      <c r="U38" s="270"/>
      <c r="V38" s="270"/>
      <c r="W38" s="270"/>
      <c r="X38" s="270"/>
      <c r="Y38" s="270"/>
      <c r="Z38" s="270"/>
      <c r="AA38" s="270"/>
      <c r="AB38" s="270"/>
      <c r="AC38" s="270"/>
      <c r="AD38" s="270"/>
      <c r="AE38" s="270"/>
      <c r="AF38" s="274"/>
    </row>
    <row r="39" spans="2:32" ht="13.5" thickTop="1">
      <c r="B39" s="1" t="s">
        <v>655</v>
      </c>
      <c r="C39" s="1"/>
      <c r="D39" s="1"/>
      <c r="E39" s="1"/>
      <c r="L39" s="58">
        <f>L35+L37</f>
        <v>28067343.78581567</v>
      </c>
      <c r="M39" s="361">
        <f>L39/$H$12</f>
        <v>1689.68417228437</v>
      </c>
      <c r="O39" s="248">
        <f>L39/$L$48</f>
        <v>1.1024997146056081</v>
      </c>
      <c r="T39" s="253"/>
      <c r="U39" s="261" t="s">
        <v>357</v>
      </c>
      <c r="V39" s="261"/>
      <c r="W39" s="261"/>
      <c r="X39" s="261"/>
      <c r="Y39" s="255"/>
      <c r="Z39" s="255"/>
      <c r="AA39" s="255"/>
      <c r="AB39" s="255"/>
      <c r="AC39" s="255"/>
      <c r="AD39" s="255"/>
      <c r="AE39" s="283">
        <f>AE35+AE37</f>
        <v>-52127123.81104083</v>
      </c>
      <c r="AF39" s="269">
        <f>AE39/$H$12</f>
        <v>-3138.1087117597276</v>
      </c>
    </row>
    <row r="40" spans="13:36" ht="12.75">
      <c r="M40" s="361"/>
      <c r="T40" s="253"/>
      <c r="U40" s="255"/>
      <c r="V40" s="255"/>
      <c r="W40" s="255"/>
      <c r="X40" s="255"/>
      <c r="Y40" s="255"/>
      <c r="Z40" s="255"/>
      <c r="AA40" s="255"/>
      <c r="AB40" s="255"/>
      <c r="AC40" s="255"/>
      <c r="AD40" s="255"/>
      <c r="AE40" s="255"/>
      <c r="AF40" s="269"/>
      <c r="AJ40" s="359" t="s">
        <v>712</v>
      </c>
    </row>
    <row r="41" spans="3:36" ht="12.75">
      <c r="C41" s="1"/>
      <c r="D41" s="1"/>
      <c r="E41" s="1"/>
      <c r="L41" s="360"/>
      <c r="M41" s="64"/>
      <c r="T41" s="253"/>
      <c r="U41" s="261" t="s">
        <v>636</v>
      </c>
      <c r="V41" s="261"/>
      <c r="W41" s="261"/>
      <c r="X41" s="261"/>
      <c r="Y41" s="255"/>
      <c r="Z41" s="255"/>
      <c r="AA41" s="255"/>
      <c r="AB41" s="255"/>
      <c r="AC41" s="255"/>
      <c r="AD41" s="255"/>
      <c r="AE41" s="286">
        <f>INDEX(okm,MATCH($G$11,kunta,0),1,1)</f>
        <v>-2609429</v>
      </c>
      <c r="AF41" s="269">
        <f>AE41/$H$12</f>
        <v>-157.09042200951177</v>
      </c>
      <c r="AJ41" s="360" t="s">
        <v>713</v>
      </c>
    </row>
    <row r="42" spans="2:36" ht="12.75">
      <c r="B42" s="1" t="s">
        <v>1174</v>
      </c>
      <c r="C42" s="1"/>
      <c r="D42" s="1"/>
      <c r="E42" s="1"/>
      <c r="L42" s="81">
        <f>INDEX(okm,MATCH($G$11,kunta,0),1,1)</f>
        <v>-2609429</v>
      </c>
      <c r="M42" s="361">
        <f>L42/$H$12</f>
        <v>-157.09042200951177</v>
      </c>
      <c r="O42" s="248">
        <f>L42/$L$48</f>
        <v>-0.10249971460560822</v>
      </c>
      <c r="T42" s="253"/>
      <c r="U42" s="261"/>
      <c r="V42" s="261"/>
      <c r="W42" s="261"/>
      <c r="X42" s="261"/>
      <c r="Y42" s="255"/>
      <c r="Z42" s="255"/>
      <c r="AA42" s="255"/>
      <c r="AB42" s="255"/>
      <c r="AC42" s="255"/>
      <c r="AD42" s="255"/>
      <c r="AE42" s="347"/>
      <c r="AF42" s="269"/>
      <c r="AJ42" s="349">
        <f>'9.Opetus ja kulttuuri, muu vos'!K103</f>
        <v>-4159992.396</v>
      </c>
    </row>
    <row r="43" spans="2:37" s="66" customFormat="1" ht="12.75" hidden="1">
      <c r="B43" s="225"/>
      <c r="C43" s="66" t="s">
        <v>714</v>
      </c>
      <c r="D43" s="225"/>
      <c r="E43" s="225"/>
      <c r="F43" s="225"/>
      <c r="G43" s="225"/>
      <c r="H43" s="225"/>
      <c r="I43" s="225"/>
      <c r="J43" s="225"/>
      <c r="L43" s="226"/>
      <c r="M43" s="365"/>
      <c r="T43" s="287"/>
      <c r="U43" s="262"/>
      <c r="V43" s="262" t="s">
        <v>611</v>
      </c>
      <c r="W43" s="262"/>
      <c r="X43" s="262"/>
      <c r="Y43" s="262"/>
      <c r="Z43" s="262"/>
      <c r="AA43" s="262"/>
      <c r="AB43" s="262"/>
      <c r="AC43" s="262"/>
      <c r="AD43" s="262"/>
      <c r="AE43" s="288"/>
      <c r="AF43" s="269"/>
      <c r="AJ43" s="231"/>
      <c r="AK43" s="231"/>
    </row>
    <row r="44" spans="4:36" s="231" customFormat="1" ht="12" hidden="1">
      <c r="D44" s="232" t="s">
        <v>669</v>
      </c>
      <c r="J44" s="313">
        <v>-79</v>
      </c>
      <c r="K44" s="231" t="s">
        <v>1</v>
      </c>
      <c r="L44" s="233">
        <f>J44*$H$12</f>
        <v>-1312269</v>
      </c>
      <c r="M44" s="348"/>
      <c r="T44" s="289"/>
      <c r="U44" s="290"/>
      <c r="V44" s="290"/>
      <c r="W44" s="291" t="s">
        <v>612</v>
      </c>
      <c r="X44" s="290"/>
      <c r="Y44" s="290"/>
      <c r="Z44" s="290"/>
      <c r="AA44" s="290"/>
      <c r="AB44" s="290"/>
      <c r="AC44" s="292">
        <v>-255</v>
      </c>
      <c r="AD44" s="290" t="s">
        <v>1</v>
      </c>
      <c r="AE44" s="293">
        <f>AC44*AA12</f>
        <v>-4235805</v>
      </c>
      <c r="AF44" s="294"/>
      <c r="AJ44" s="348">
        <f>'9.Opetus ja kulttuuri, muu vos'!K26</f>
        <v>-1328880</v>
      </c>
    </row>
    <row r="45" spans="4:36" s="231" customFormat="1" ht="12" hidden="1">
      <c r="D45" s="232" t="s">
        <v>670</v>
      </c>
      <c r="J45" s="313">
        <v>-175</v>
      </c>
      <c r="K45" s="231" t="s">
        <v>1</v>
      </c>
      <c r="L45" s="233">
        <f>J45*$H$12</f>
        <v>-2906925</v>
      </c>
      <c r="M45" s="348"/>
      <c r="T45" s="289"/>
      <c r="U45" s="290"/>
      <c r="V45" s="290"/>
      <c r="W45" s="291"/>
      <c r="X45" s="290"/>
      <c r="Y45" s="290"/>
      <c r="Z45" s="290"/>
      <c r="AA45" s="290"/>
      <c r="AB45" s="290"/>
      <c r="AC45" s="312"/>
      <c r="AD45" s="290"/>
      <c r="AE45" s="293"/>
      <c r="AF45" s="294"/>
      <c r="AJ45" s="348">
        <f>'9.Opetus ja kulttuuri, muu vos'!K27</f>
        <v>-2890314</v>
      </c>
    </row>
    <row r="46" spans="4:36" s="231" customFormat="1" ht="12" hidden="1">
      <c r="D46" s="232" t="s">
        <v>657</v>
      </c>
      <c r="L46" s="233">
        <f>L42-L44-L45</f>
        <v>1609765</v>
      </c>
      <c r="M46" s="348"/>
      <c r="T46" s="289"/>
      <c r="U46" s="290"/>
      <c r="V46" s="290"/>
      <c r="W46" s="291" t="s">
        <v>613</v>
      </c>
      <c r="X46" s="290"/>
      <c r="Y46" s="290"/>
      <c r="Z46" s="290"/>
      <c r="AA46" s="290"/>
      <c r="AB46" s="290"/>
      <c r="AC46" s="290"/>
      <c r="AD46" s="290"/>
      <c r="AE46" s="293">
        <f>AE41-AE44</f>
        <v>1626376</v>
      </c>
      <c r="AF46" s="294"/>
      <c r="AJ46" s="348">
        <f>AJ42-AJ44-AJ45</f>
        <v>59201.60399999982</v>
      </c>
    </row>
    <row r="47" spans="13:36" ht="12.75">
      <c r="M47" s="64"/>
      <c r="S47" s="231"/>
      <c r="T47" s="231"/>
      <c r="U47" s="231"/>
      <c r="V47" s="231"/>
      <c r="W47" s="231"/>
      <c r="X47" s="231"/>
      <c r="Y47" s="231"/>
      <c r="Z47" s="231"/>
      <c r="AA47" s="231"/>
      <c r="AB47" s="231"/>
      <c r="AC47" s="231"/>
      <c r="AD47" s="231"/>
      <c r="AE47" s="231"/>
      <c r="AF47" s="231"/>
      <c r="AG47" s="231"/>
      <c r="AH47" s="231"/>
      <c r="AJ47" s="231" t="s">
        <v>637</v>
      </c>
    </row>
    <row r="48" spans="1:37" ht="12.75">
      <c r="A48" s="82" t="s">
        <v>1150</v>
      </c>
      <c r="B48" s="83"/>
      <c r="C48" s="101"/>
      <c r="D48" s="101"/>
      <c r="E48" s="101"/>
      <c r="F48" s="83"/>
      <c r="G48" s="83"/>
      <c r="H48" s="83"/>
      <c r="I48" s="83"/>
      <c r="J48" s="83"/>
      <c r="K48" s="83"/>
      <c r="L48" s="157">
        <f>L39+L42</f>
        <v>25457914.78581567</v>
      </c>
      <c r="M48" s="366">
        <f>L48/$H$12</f>
        <v>1532.5937502748584</v>
      </c>
      <c r="O48" s="248">
        <f>L48/$L$48</f>
        <v>1</v>
      </c>
      <c r="S48" s="231"/>
      <c r="T48" s="231"/>
      <c r="U48" s="231"/>
      <c r="V48" s="231"/>
      <c r="W48" s="231"/>
      <c r="X48" s="231"/>
      <c r="Y48" s="231"/>
      <c r="Z48" s="231"/>
      <c r="AA48" s="231"/>
      <c r="AB48" s="231"/>
      <c r="AC48" s="231"/>
      <c r="AD48" s="231"/>
      <c r="AE48" s="231"/>
      <c r="AF48" s="231"/>
      <c r="AG48" s="231"/>
      <c r="AH48" s="231"/>
      <c r="AJ48" s="350">
        <f>L39+AJ42</f>
        <v>23907351.38981567</v>
      </c>
      <c r="AK48" s="370">
        <f>AJ48/H12</f>
        <v>1439.24817228437</v>
      </c>
    </row>
    <row r="49" spans="13:37" ht="12.75">
      <c r="M49" s="361"/>
      <c r="T49" s="253"/>
      <c r="U49" s="255"/>
      <c r="V49" s="255"/>
      <c r="W49" s="255"/>
      <c r="X49" s="255"/>
      <c r="Y49" s="255"/>
      <c r="Z49" s="255"/>
      <c r="AA49" s="255"/>
      <c r="AB49" s="255"/>
      <c r="AC49" s="255"/>
      <c r="AD49" s="255"/>
      <c r="AE49" s="255"/>
      <c r="AF49" s="269"/>
      <c r="AK49" s="64"/>
    </row>
    <row r="50" spans="4:32" ht="12.75">
      <c r="D50" s="5" t="s">
        <v>1172</v>
      </c>
      <c r="E50" s="240"/>
      <c r="L50" s="64"/>
      <c r="M50" s="361"/>
      <c r="O50" s="248"/>
      <c r="T50" s="253"/>
      <c r="U50" s="255"/>
      <c r="V50" s="255"/>
      <c r="W50" s="255"/>
      <c r="X50" s="255"/>
      <c r="Y50" s="255"/>
      <c r="Z50" s="255"/>
      <c r="AA50" s="255"/>
      <c r="AB50" s="255"/>
      <c r="AC50" s="255"/>
      <c r="AD50" s="255"/>
      <c r="AE50" s="311"/>
      <c r="AF50" s="269"/>
    </row>
    <row r="51" spans="5:32" ht="12.75">
      <c r="E51" s="240" t="s">
        <v>1173</v>
      </c>
      <c r="L51" s="64">
        <f>'6.Vähennykset ja lisäykset'!I98</f>
        <v>7367314.349487537</v>
      </c>
      <c r="M51" s="361">
        <f>L51/$H$12</f>
        <v>443.520218499039</v>
      </c>
      <c r="O51" s="248">
        <f>L51/$L$48</f>
        <v>0.28939190076920074</v>
      </c>
      <c r="T51" s="253"/>
      <c r="U51" s="255"/>
      <c r="V51" s="255"/>
      <c r="W51" s="255"/>
      <c r="X51" s="255"/>
      <c r="Y51" s="255"/>
      <c r="Z51" s="255"/>
      <c r="AA51" s="255"/>
      <c r="AB51" s="255"/>
      <c r="AC51" s="255"/>
      <c r="AD51" s="255"/>
      <c r="AE51" s="311"/>
      <c r="AF51" s="269"/>
    </row>
    <row r="52" spans="5:32" ht="12.75">
      <c r="E52" s="240"/>
      <c r="L52" s="64"/>
      <c r="M52" s="361"/>
      <c r="O52" s="248"/>
      <c r="T52" s="253"/>
      <c r="U52" s="255"/>
      <c r="V52" s="255"/>
      <c r="W52" s="255"/>
      <c r="X52" s="255"/>
      <c r="Y52" s="255"/>
      <c r="Z52" s="255"/>
      <c r="AA52" s="255"/>
      <c r="AB52" s="255"/>
      <c r="AC52" s="255"/>
      <c r="AD52" s="255"/>
      <c r="AE52" s="311"/>
      <c r="AF52" s="269"/>
    </row>
    <row r="53" spans="1:37" ht="12.75">
      <c r="A53" s="82" t="s">
        <v>1175</v>
      </c>
      <c r="B53" s="83"/>
      <c r="C53" s="101"/>
      <c r="D53" s="101"/>
      <c r="E53" s="101"/>
      <c r="F53" s="83"/>
      <c r="G53" s="83"/>
      <c r="H53" s="83"/>
      <c r="I53" s="83"/>
      <c r="J53" s="83"/>
      <c r="K53" s="83"/>
      <c r="L53" s="157">
        <f>L48+L51</f>
        <v>32825229.135303207</v>
      </c>
      <c r="M53" s="366">
        <f>L53/$H$12</f>
        <v>1976.113968773897</v>
      </c>
      <c r="O53" s="248">
        <f>L53/$L$48</f>
        <v>1.2893919007692007</v>
      </c>
      <c r="S53" s="231"/>
      <c r="T53" s="231"/>
      <c r="U53" s="231"/>
      <c r="V53" s="231"/>
      <c r="W53" s="231"/>
      <c r="X53" s="231"/>
      <c r="Y53" s="231"/>
      <c r="Z53" s="231"/>
      <c r="AA53" s="231"/>
      <c r="AB53" s="231"/>
      <c r="AC53" s="231"/>
      <c r="AD53" s="231"/>
      <c r="AE53" s="231"/>
      <c r="AF53" s="231"/>
      <c r="AG53" s="231"/>
      <c r="AH53" s="231"/>
      <c r="AJ53" s="350" t="e">
        <f>L44+AJ47</f>
        <v>#VALUE!</v>
      </c>
      <c r="AK53" s="370" t="e">
        <f>AJ53/H17</f>
        <v>#VALUE!</v>
      </c>
    </row>
    <row r="54" spans="5:32" ht="12.75">
      <c r="E54" s="240"/>
      <c r="L54" s="64"/>
      <c r="M54" s="361"/>
      <c r="O54" s="248"/>
      <c r="T54" s="253"/>
      <c r="U54" s="255"/>
      <c r="V54" s="255"/>
      <c r="W54" s="255"/>
      <c r="X54" s="255"/>
      <c r="Y54" s="255"/>
      <c r="Z54" s="255"/>
      <c r="AA54" s="255"/>
      <c r="AB54" s="255"/>
      <c r="AC54" s="255"/>
      <c r="AD54" s="255"/>
      <c r="AE54" s="311"/>
      <c r="AF54" s="269"/>
    </row>
    <row r="55" spans="2:37" ht="12.75">
      <c r="B55" s="1" t="s">
        <v>658</v>
      </c>
      <c r="C55" s="1"/>
      <c r="D55" s="1"/>
      <c r="E55" s="1"/>
      <c r="M55" s="361"/>
      <c r="T55" s="253"/>
      <c r="U55" s="261" t="s">
        <v>52</v>
      </c>
      <c r="V55" s="261"/>
      <c r="W55" s="261"/>
      <c r="X55" s="261"/>
      <c r="Y55" s="255"/>
      <c r="Z55" s="255"/>
      <c r="AA55" s="255"/>
      <c r="AB55" s="255"/>
      <c r="AC55" s="255"/>
      <c r="AD55" s="255"/>
      <c r="AE55" s="255"/>
      <c r="AF55" s="269"/>
      <c r="AJ55" s="360" t="s">
        <v>715</v>
      </c>
      <c r="AK55" s="64"/>
    </row>
    <row r="56" spans="6:37" ht="12.75">
      <c r="F56" t="s">
        <v>359</v>
      </c>
      <c r="L56" s="79">
        <f>-'8.Kotikuntakorvaukset'!I40</f>
        <v>-1156803.998</v>
      </c>
      <c r="M56" s="361"/>
      <c r="T56" s="253"/>
      <c r="U56" s="255"/>
      <c r="V56" s="255"/>
      <c r="W56" s="255"/>
      <c r="X56" s="255"/>
      <c r="Y56" s="255" t="s">
        <v>359</v>
      </c>
      <c r="Z56" s="255"/>
      <c r="AA56" s="255"/>
      <c r="AB56" s="255"/>
      <c r="AC56" s="255"/>
      <c r="AD56" s="255"/>
      <c r="AE56" s="268">
        <f>'8.Kotikuntakorvaukset'!Z47*(-1)</f>
        <v>0</v>
      </c>
      <c r="AF56" s="269"/>
      <c r="AJ56" s="79">
        <f>'8.Kotikuntakorvaukset'!H40</f>
        <v>0</v>
      </c>
      <c r="AK56" s="64"/>
    </row>
    <row r="57" spans="6:37" ht="13.5" thickBot="1">
      <c r="F57" s="109" t="s">
        <v>358</v>
      </c>
      <c r="G57" s="109"/>
      <c r="H57" s="109"/>
      <c r="I57" s="109"/>
      <c r="J57" s="109"/>
      <c r="K57" s="109"/>
      <c r="L57" s="220">
        <f>'8.Kotikuntakorvaukset'!I47</f>
        <v>154132.37000000002</v>
      </c>
      <c r="M57" s="361"/>
      <c r="T57" s="253"/>
      <c r="U57" s="255"/>
      <c r="V57" s="255"/>
      <c r="W57" s="255"/>
      <c r="X57" s="255"/>
      <c r="Y57" s="270" t="s">
        <v>358</v>
      </c>
      <c r="Z57" s="270"/>
      <c r="AA57" s="270"/>
      <c r="AB57" s="270"/>
      <c r="AC57" s="270"/>
      <c r="AD57" s="270"/>
      <c r="AE57" s="295">
        <f>'8.Kotikuntakorvaukset'!Z40</f>
        <v>0</v>
      </c>
      <c r="AF57" s="269"/>
      <c r="AJ57" s="220">
        <f>'8.Kotikuntakorvaukset'!H47</f>
        <v>0</v>
      </c>
      <c r="AK57" s="64"/>
    </row>
    <row r="58" spans="5:37" ht="13.5" thickTop="1">
      <c r="E58" s="5" t="s">
        <v>579</v>
      </c>
      <c r="F58" s="5"/>
      <c r="L58" s="221">
        <f>'8.Kotikuntakorvaukset'!H50</f>
        <v>-1002671.6279999999</v>
      </c>
      <c r="M58" s="361"/>
      <c r="T58" s="253"/>
      <c r="U58" s="255"/>
      <c r="V58" s="255"/>
      <c r="W58" s="255"/>
      <c r="X58" s="255" t="s">
        <v>568</v>
      </c>
      <c r="Y58" s="255"/>
      <c r="Z58" s="255"/>
      <c r="AA58" s="255"/>
      <c r="AB58" s="255"/>
      <c r="AC58" s="255"/>
      <c r="AD58" s="255"/>
      <c r="AE58" s="296">
        <f>'8.Kotikuntakorvaukset'!Z50</f>
        <v>0</v>
      </c>
      <c r="AF58" s="269"/>
      <c r="AJ58" s="221">
        <f>AJ57-AJ56</f>
        <v>0</v>
      </c>
      <c r="AK58" s="64"/>
    </row>
    <row r="59" spans="13:37" ht="12.75">
      <c r="M59" s="64"/>
      <c r="T59" s="253"/>
      <c r="U59" s="255"/>
      <c r="V59" s="255"/>
      <c r="W59" s="255"/>
      <c r="X59" s="255"/>
      <c r="Y59" s="255"/>
      <c r="Z59" s="255"/>
      <c r="AA59" s="255"/>
      <c r="AB59" s="255"/>
      <c r="AC59" s="255"/>
      <c r="AD59" s="255"/>
      <c r="AE59" s="255"/>
      <c r="AF59" s="256"/>
      <c r="AK59" s="64"/>
    </row>
    <row r="60" spans="5:32" ht="12.75" hidden="1">
      <c r="E60" s="240"/>
      <c r="L60" s="64"/>
      <c r="M60" s="361"/>
      <c r="O60" s="248"/>
      <c r="T60" s="253"/>
      <c r="U60" s="255"/>
      <c r="V60" s="255"/>
      <c r="W60" s="255"/>
      <c r="X60" s="255"/>
      <c r="Y60" s="255"/>
      <c r="Z60" s="255"/>
      <c r="AA60" s="255"/>
      <c r="AB60" s="255"/>
      <c r="AC60" s="255"/>
      <c r="AD60" s="255"/>
      <c r="AE60" s="311"/>
      <c r="AF60" s="269"/>
    </row>
    <row r="61" spans="1:37" s="175" customFormat="1" ht="12.75" hidden="1">
      <c r="A61" s="331" t="s">
        <v>659</v>
      </c>
      <c r="B61" s="332"/>
      <c r="C61" s="333"/>
      <c r="D61" s="333"/>
      <c r="E61" s="333"/>
      <c r="F61" s="332"/>
      <c r="G61" s="332"/>
      <c r="H61" s="332"/>
      <c r="I61" s="332"/>
      <c r="J61" s="332"/>
      <c r="K61" s="332"/>
      <c r="L61" s="334" t="s">
        <v>361</v>
      </c>
      <c r="M61" s="367" t="s">
        <v>399</v>
      </c>
      <c r="T61" s="317" t="s">
        <v>674</v>
      </c>
      <c r="U61" s="318"/>
      <c r="V61" s="319"/>
      <c r="W61" s="319"/>
      <c r="X61" s="319"/>
      <c r="Y61" s="318"/>
      <c r="Z61" s="318"/>
      <c r="AA61" s="318"/>
      <c r="AB61" s="318"/>
      <c r="AC61" s="318"/>
      <c r="AD61" s="318"/>
      <c r="AE61" s="320" t="s">
        <v>361</v>
      </c>
      <c r="AF61" s="321" t="s">
        <v>399</v>
      </c>
      <c r="AJ61" s="231" t="s">
        <v>699</v>
      </c>
      <c r="AK61" s="64"/>
    </row>
    <row r="62" spans="1:37" s="175" customFormat="1" ht="12" hidden="1">
      <c r="A62" s="335"/>
      <c r="B62" s="336" t="s">
        <v>661</v>
      </c>
      <c r="C62" s="337"/>
      <c r="D62" s="337"/>
      <c r="E62" s="337"/>
      <c r="F62" s="336"/>
      <c r="G62" s="336"/>
      <c r="H62" s="336"/>
      <c r="I62" s="336"/>
      <c r="J62" s="336"/>
      <c r="K62" s="336"/>
      <c r="L62" s="338">
        <f>INDEX(vos_maksatus,MATCH($G$11,kunta,0),1,1)</f>
        <v>29770421.12556754</v>
      </c>
      <c r="M62" s="368">
        <f>L62/H12</f>
        <v>1792.2112531194714</v>
      </c>
      <c r="T62" s="322"/>
      <c r="U62" s="323" t="s">
        <v>494</v>
      </c>
      <c r="V62" s="324"/>
      <c r="W62" s="324"/>
      <c r="X62" s="324"/>
      <c r="Y62" s="323"/>
      <c r="Z62" s="323"/>
      <c r="AA62" s="323"/>
      <c r="AB62" s="323"/>
      <c r="AC62" s="323"/>
      <c r="AD62" s="323"/>
      <c r="AE62" s="325">
        <f>INDEX(vos_maks,MATCH($G$11,kunta,0),1,1)</f>
        <v>25457914.78581567</v>
      </c>
      <c r="AF62" s="326">
        <f>AE62/AA12</f>
        <v>1532.5937502748584</v>
      </c>
      <c r="AJ62" s="351">
        <f>AJ48+AJ58</f>
        <v>23907351.38981567</v>
      </c>
      <c r="AK62" s="371">
        <f>AJ62/H12</f>
        <v>1439.24817228437</v>
      </c>
    </row>
    <row r="63" spans="1:37" s="175" customFormat="1" ht="12.75" hidden="1">
      <c r="A63" s="339"/>
      <c r="B63" s="340" t="s">
        <v>660</v>
      </c>
      <c r="C63" s="340"/>
      <c r="D63" s="340"/>
      <c r="E63" s="340"/>
      <c r="F63" s="340"/>
      <c r="G63" s="340"/>
      <c r="H63" s="340"/>
      <c r="I63" s="340"/>
      <c r="J63" s="340"/>
      <c r="K63" s="340"/>
      <c r="L63" s="341">
        <f>L62/12</f>
        <v>2480868.4271306284</v>
      </c>
      <c r="M63" s="369">
        <f>L63/H12</f>
        <v>149.35093775995597</v>
      </c>
      <c r="T63" s="327"/>
      <c r="U63" s="328" t="s">
        <v>400</v>
      </c>
      <c r="V63" s="328"/>
      <c r="W63" s="328"/>
      <c r="X63" s="328"/>
      <c r="Y63" s="328"/>
      <c r="Z63" s="328"/>
      <c r="AA63" s="328"/>
      <c r="AB63" s="328"/>
      <c r="AC63" s="328"/>
      <c r="AD63" s="328"/>
      <c r="AE63" s="329">
        <f>AE62/12</f>
        <v>2121492.8988179727</v>
      </c>
      <c r="AF63" s="330">
        <f>AE63/AA12</f>
        <v>127.7161458562382</v>
      </c>
      <c r="AJ63"/>
      <c r="AK63" s="64"/>
    </row>
    <row r="64" s="175" customFormat="1" ht="11.25" hidden="1"/>
    <row r="65" ht="12.75" hidden="1">
      <c r="L65" s="64"/>
    </row>
    <row r="66" ht="12.75">
      <c r="R66" s="64"/>
    </row>
    <row r="74" ht="12.75">
      <c r="BN74" s="170"/>
    </row>
    <row r="75" ht="12.75">
      <c r="BN75" s="170"/>
    </row>
    <row r="76" ht="12.75">
      <c r="BN76" s="170"/>
    </row>
    <row r="77" ht="12.75">
      <c r="BN77" s="170"/>
    </row>
    <row r="78" ht="12.75">
      <c r="BN78" s="170"/>
    </row>
    <row r="79" ht="12.75">
      <c r="BN79" s="170"/>
    </row>
    <row r="80" ht="12.75">
      <c r="BN80" s="170"/>
    </row>
    <row r="81" ht="12.75">
      <c r="BN81" s="170"/>
    </row>
    <row r="82" ht="12.75">
      <c r="BN82" s="170"/>
    </row>
    <row r="83" ht="12.75">
      <c r="BN83" s="170"/>
    </row>
    <row r="84" ht="12.75">
      <c r="BN84" s="170"/>
    </row>
    <row r="85" ht="12.75">
      <c r="BN85" s="170"/>
    </row>
    <row r="86" ht="12.75">
      <c r="BN86" s="170"/>
    </row>
    <row r="87" ht="12.75">
      <c r="BN87" s="170"/>
    </row>
    <row r="88" ht="12.75">
      <c r="BN88" s="170"/>
    </row>
    <row r="89" ht="12.75">
      <c r="BN89" s="170"/>
    </row>
    <row r="90" ht="12.75">
      <c r="BN90" s="170"/>
    </row>
    <row r="91" ht="12.75">
      <c r="BN91" s="170"/>
    </row>
    <row r="92" ht="12.75">
      <c r="BN92" s="170"/>
    </row>
    <row r="93" ht="12.75">
      <c r="BN93" s="170"/>
    </row>
    <row r="94" ht="12.75">
      <c r="BN94" s="170"/>
    </row>
    <row r="95" ht="12.75">
      <c r="BN95" s="170"/>
    </row>
    <row r="96" ht="12.75">
      <c r="BN96" s="170"/>
    </row>
    <row r="97" ht="12.75">
      <c r="BN97" s="170"/>
    </row>
    <row r="98" ht="12.75">
      <c r="BN98" s="170"/>
    </row>
    <row r="99" ht="12.75">
      <c r="BN99" s="170"/>
    </row>
    <row r="100" ht="12.75">
      <c r="BN100" s="170"/>
    </row>
    <row r="101" ht="12.75">
      <c r="BN101" s="170"/>
    </row>
    <row r="102" ht="12.75">
      <c r="BN102" s="170"/>
    </row>
    <row r="103" ht="12.75">
      <c r="BN103" s="170"/>
    </row>
    <row r="104" ht="12.75">
      <c r="BN104" s="170"/>
    </row>
    <row r="105" ht="12.75">
      <c r="BN105" s="170"/>
    </row>
  </sheetData>
  <sheetProtection/>
  <protectedRanges>
    <protectedRange sqref="G11:H11" name="Alue1"/>
    <protectedRange sqref="J25 AC25 AC44:AC45 J44:J45" name="Alue2"/>
    <protectedRange sqref="L37 AE37"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H25"/>
  <sheetViews>
    <sheetView zoomScalePageLayoutView="0" workbookViewId="0" topLeftCell="A1">
      <selection activeCell="J16" sqref="J16"/>
    </sheetView>
  </sheetViews>
  <sheetFormatPr defaultColWidth="9.140625" defaultRowHeight="12.75"/>
  <cols>
    <col min="1" max="4" width="2.140625" style="5" customWidth="1"/>
    <col min="5" max="5" width="18.140625" style="5" customWidth="1"/>
    <col min="6" max="7" width="17.00390625" style="5" customWidth="1"/>
    <col min="8" max="8" width="18.57421875" style="5" customWidth="1"/>
    <col min="9" max="12" width="9.140625" style="5" customWidth="1"/>
    <col min="13" max="13" width="15.57421875" style="5" bestFit="1" customWidth="1"/>
    <col min="14" max="16384" width="9.140625" style="5" customWidth="1"/>
  </cols>
  <sheetData>
    <row r="1" spans="1:8" ht="12.75">
      <c r="A1" s="80" t="str">
        <f>'2.Yhteenveto'!A1</f>
        <v>11.9.2019, Kuntaliitto / Sanna Lehtonen</v>
      </c>
      <c r="E1" s="94"/>
      <c r="F1" s="28"/>
      <c r="G1" s="28"/>
      <c r="H1" s="28"/>
    </row>
    <row r="2" spans="5:8" ht="12.75">
      <c r="E2" s="94"/>
      <c r="F2" s="28"/>
      <c r="G2" s="28"/>
      <c r="H2" s="59"/>
    </row>
    <row r="3" spans="1:8" ht="18">
      <c r="A3" s="499" t="s">
        <v>1149</v>
      </c>
      <c r="B3" s="500"/>
      <c r="C3" s="500"/>
      <c r="D3" s="500"/>
      <c r="E3" s="500"/>
      <c r="F3" s="500"/>
      <c r="G3" s="500"/>
      <c r="H3" s="501"/>
    </row>
    <row r="4" spans="1:8" ht="12.75">
      <c r="A4" s="28"/>
      <c r="B4" s="28"/>
      <c r="C4" s="28"/>
      <c r="D4" s="28"/>
      <c r="E4" s="28"/>
      <c r="F4" s="27"/>
      <c r="G4" s="28"/>
      <c r="H4" s="28"/>
    </row>
    <row r="5" spans="1:8" ht="12.75">
      <c r="A5" s="28"/>
      <c r="B5" s="55" t="s">
        <v>40</v>
      </c>
      <c r="C5" s="28"/>
      <c r="D5" s="28"/>
      <c r="E5" s="40"/>
      <c r="F5" s="56" t="s">
        <v>404</v>
      </c>
      <c r="H5" s="65"/>
    </row>
    <row r="6" spans="1:8" ht="12.75">
      <c r="A6" s="28"/>
      <c r="B6" s="28"/>
      <c r="C6" s="28"/>
      <c r="D6" s="28"/>
      <c r="E6" s="102"/>
      <c r="F6" s="56" t="s">
        <v>403</v>
      </c>
      <c r="H6" s="65"/>
    </row>
    <row r="7" spans="1:8" ht="12.75">
      <c r="A7" s="28"/>
      <c r="B7" s="28"/>
      <c r="C7" s="28"/>
      <c r="D7" s="28"/>
      <c r="E7" s="28"/>
      <c r="F7" s="27"/>
      <c r="G7" s="28"/>
      <c r="H7" s="28"/>
    </row>
    <row r="8" spans="2:8" ht="12.75">
      <c r="B8" s="85" t="s">
        <v>0</v>
      </c>
      <c r="F8" s="11" t="str">
        <f>'2.Yhteenveto'!G11</f>
        <v>Akaa</v>
      </c>
      <c r="G8" s="88"/>
      <c r="H8" s="28"/>
    </row>
    <row r="9" spans="2:8" ht="12.75">
      <c r="B9" s="85" t="str">
        <f>'2.Yhteenveto'!B12</f>
        <v>Asukasluku 31.12.2018:</v>
      </c>
      <c r="F9" s="150">
        <f>'2.Yhteenveto'!$H$12</f>
        <v>16611</v>
      </c>
      <c r="G9" s="88"/>
      <c r="H9" s="28"/>
    </row>
    <row r="10" spans="5:8" ht="12.75">
      <c r="E10" s="27"/>
      <c r="F10" s="28"/>
      <c r="G10" s="28"/>
      <c r="H10" s="149" t="s">
        <v>2</v>
      </c>
    </row>
    <row r="11" spans="2:8" ht="12.75">
      <c r="B11" s="27"/>
      <c r="F11" s="28"/>
      <c r="G11" s="28"/>
      <c r="H11" s="149" t="s">
        <v>362</v>
      </c>
    </row>
    <row r="12" spans="3:8" ht="18" customHeight="1">
      <c r="C12" s="27" t="s">
        <v>365</v>
      </c>
      <c r="D12" s="27"/>
      <c r="F12" s="104" t="s">
        <v>5</v>
      </c>
      <c r="G12" s="104" t="s">
        <v>369</v>
      </c>
      <c r="H12" s="100"/>
    </row>
    <row r="13" spans="5:8" ht="12.75">
      <c r="E13" s="28" t="s">
        <v>499</v>
      </c>
      <c r="F13" s="40">
        <f>INDEX(ikar_1,MATCH($F$8,kunta,0),1,1)</f>
        <v>925</v>
      </c>
      <c r="G13" s="96">
        <v>8536.83</v>
      </c>
      <c r="H13" s="87">
        <f aca="true" t="shared" si="0" ref="H13:H21">F13*G13</f>
        <v>7896567.75</v>
      </c>
    </row>
    <row r="14" spans="5:8" ht="12.75">
      <c r="E14" s="28" t="s">
        <v>34</v>
      </c>
      <c r="F14" s="40">
        <f>INDEX(ikar_2,MATCH($F$8,kunta,0),1,1)</f>
        <v>218</v>
      </c>
      <c r="G14" s="96">
        <v>9070.05</v>
      </c>
      <c r="H14" s="87">
        <f t="shared" si="0"/>
        <v>1977270.9</v>
      </c>
    </row>
    <row r="15" spans="5:8" ht="12.75">
      <c r="E15" s="28" t="s">
        <v>33</v>
      </c>
      <c r="F15" s="40">
        <f>INDEX(ikar_3,MATCH($F$8,kunta,0),1,1)</f>
        <v>1322</v>
      </c>
      <c r="G15" s="96">
        <v>7595.52</v>
      </c>
      <c r="H15" s="87">
        <f t="shared" si="0"/>
        <v>10041277.440000001</v>
      </c>
    </row>
    <row r="16" spans="5:8" ht="12.75">
      <c r="E16" s="28" t="s">
        <v>32</v>
      </c>
      <c r="F16" s="40">
        <f>INDEX(ikar_4,MATCH($F$8,kunta,0),1,1)</f>
        <v>679</v>
      </c>
      <c r="G16" s="96">
        <v>13019.48</v>
      </c>
      <c r="H16" s="87">
        <f t="shared" si="0"/>
        <v>8840226.92</v>
      </c>
    </row>
    <row r="17" spans="5:8" ht="12.75">
      <c r="E17" s="28" t="s">
        <v>500</v>
      </c>
      <c r="F17" s="40">
        <f>INDEX(ikar_5,MATCH($F$8,kunta,0),1,1)</f>
        <v>568</v>
      </c>
      <c r="G17" s="96">
        <v>4151.48</v>
      </c>
      <c r="H17" s="87">
        <f t="shared" si="0"/>
        <v>2358040.6399999997</v>
      </c>
    </row>
    <row r="18" spans="5:8" ht="12.75">
      <c r="E18" s="28" t="s">
        <v>501</v>
      </c>
      <c r="F18" s="40">
        <f>INDEX(ikar_6,MATCH($F$8,kunta,0),1,1)</f>
        <v>9103</v>
      </c>
      <c r="G18" s="96">
        <v>1025.18</v>
      </c>
      <c r="H18" s="87">
        <f t="shared" si="0"/>
        <v>9332213.540000001</v>
      </c>
    </row>
    <row r="19" spans="5:8" ht="12.75">
      <c r="E19" s="28" t="s">
        <v>366</v>
      </c>
      <c r="F19" s="40">
        <f>INDEX(ikar_7,MATCH($F$8,kunta,0),1,1)</f>
        <v>2238</v>
      </c>
      <c r="G19" s="96">
        <v>2023.06</v>
      </c>
      <c r="H19" s="87">
        <f t="shared" si="0"/>
        <v>4527608.28</v>
      </c>
    </row>
    <row r="20" spans="5:8" ht="12.75">
      <c r="E20" s="28" t="s">
        <v>367</v>
      </c>
      <c r="F20" s="40">
        <f>INDEX(ikar_8,MATCH($F$8,kunta,0),1,1)</f>
        <v>1065</v>
      </c>
      <c r="G20" s="96">
        <v>5642.96</v>
      </c>
      <c r="H20" s="87">
        <f t="shared" si="0"/>
        <v>6009752.4</v>
      </c>
    </row>
    <row r="21" spans="3:8" ht="13.5" thickBot="1">
      <c r="C21" s="159"/>
      <c r="D21" s="159"/>
      <c r="E21" s="106" t="s">
        <v>368</v>
      </c>
      <c r="F21" s="160">
        <f>INDEX(ikar_9,MATCH($F$8,kunta,0),1,1)</f>
        <v>493</v>
      </c>
      <c r="G21" s="161">
        <v>19508.23</v>
      </c>
      <c r="H21" s="162">
        <f t="shared" si="0"/>
        <v>9617557.39</v>
      </c>
    </row>
    <row r="22" spans="3:8" ht="13.5" thickTop="1">
      <c r="C22" s="16" t="s">
        <v>360</v>
      </c>
      <c r="D22" s="16"/>
      <c r="F22" s="14">
        <f>SUM(F13:F21)</f>
        <v>16611</v>
      </c>
      <c r="G22" s="227">
        <f>H22/F22</f>
        <v>3648.2159568960333</v>
      </c>
      <c r="H22" s="22">
        <f>SUM(H13:H21)</f>
        <v>60600515.260000005</v>
      </c>
    </row>
    <row r="23" spans="5:8" ht="12.75">
      <c r="E23" s="28"/>
      <c r="F23" s="28"/>
      <c r="G23" s="86"/>
      <c r="H23" s="28"/>
    </row>
    <row r="24" spans="1:8" ht="12.75">
      <c r="A24" s="92" t="s">
        <v>662</v>
      </c>
      <c r="B24" s="103"/>
      <c r="C24" s="103"/>
      <c r="D24" s="103"/>
      <c r="E24" s="103"/>
      <c r="F24" s="93"/>
      <c r="G24" s="95"/>
      <c r="H24" s="99">
        <f>H22</f>
        <v>60600515.260000005</v>
      </c>
    </row>
    <row r="25" ht="12.75">
      <c r="H25" s="135" t="s">
        <v>405</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83"/>
  <sheetViews>
    <sheetView zoomScalePageLayoutView="0" workbookViewId="0" topLeftCell="A1">
      <selection activeCell="A5" sqref="A5"/>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28125" style="0" customWidth="1"/>
    <col min="7" max="7" width="16.00390625" style="0" customWidth="1"/>
    <col min="8" max="8" width="11.140625" style="0" customWidth="1"/>
    <col min="9" max="9" width="6.140625" style="0" customWidth="1"/>
    <col min="10" max="10" width="13.7109375" style="0" bestFit="1" customWidth="1"/>
  </cols>
  <sheetData>
    <row r="1" spans="1:10" ht="12.75">
      <c r="A1" s="80" t="str">
        <f>'2.Yhteenveto'!A1</f>
        <v>11.9.2019, Kuntaliitto / Sanna Lehtonen</v>
      </c>
      <c r="F1" s="94"/>
      <c r="G1" s="6"/>
      <c r="H1" s="6"/>
      <c r="I1" s="6"/>
      <c r="J1" s="6"/>
    </row>
    <row r="2" spans="6:10" ht="12.75">
      <c r="F2" s="94"/>
      <c r="G2" s="6"/>
      <c r="H2" s="6"/>
      <c r="I2" s="6"/>
      <c r="J2" s="6"/>
    </row>
    <row r="3" spans="1:10" ht="15.75">
      <c r="A3" s="508" t="s">
        <v>502</v>
      </c>
      <c r="B3" s="509"/>
      <c r="C3" s="509"/>
      <c r="D3" s="509"/>
      <c r="E3" s="509"/>
      <c r="F3" s="509"/>
      <c r="G3" s="509"/>
      <c r="H3" s="509"/>
      <c r="I3" s="509"/>
      <c r="J3" s="510"/>
    </row>
    <row r="4" spans="1:10" ht="15.75">
      <c r="A4" s="511" t="s">
        <v>1176</v>
      </c>
      <c r="B4" s="512"/>
      <c r="C4" s="512"/>
      <c r="D4" s="512"/>
      <c r="E4" s="512"/>
      <c r="F4" s="512"/>
      <c r="G4" s="512"/>
      <c r="H4" s="512"/>
      <c r="I4" s="512"/>
      <c r="J4" s="513"/>
    </row>
    <row r="5" spans="6:10" ht="12.75">
      <c r="F5" s="8"/>
      <c r="G5" s="8"/>
      <c r="H5" s="6"/>
      <c r="I5" s="6"/>
      <c r="J5" s="6"/>
    </row>
    <row r="6" spans="3:10" ht="12.75">
      <c r="C6" s="55" t="s">
        <v>40</v>
      </c>
      <c r="D6" s="28"/>
      <c r="E6" s="40"/>
      <c r="F6" s="56" t="s">
        <v>404</v>
      </c>
      <c r="I6" s="6"/>
      <c r="J6" s="6"/>
    </row>
    <row r="7" spans="3:10" ht="12.75">
      <c r="C7" s="28"/>
      <c r="D7" s="28"/>
      <c r="E7" s="102"/>
      <c r="F7" s="56" t="s">
        <v>403</v>
      </c>
      <c r="I7" s="6"/>
      <c r="J7" s="6"/>
    </row>
    <row r="8" spans="6:10" ht="12.75">
      <c r="F8" s="8"/>
      <c r="G8" s="8"/>
      <c r="H8" s="6"/>
      <c r="I8" s="6"/>
      <c r="J8" s="6"/>
    </row>
    <row r="9" spans="2:10" ht="15.75" customHeight="1">
      <c r="B9" s="85" t="s">
        <v>0</v>
      </c>
      <c r="E9" s="9"/>
      <c r="F9" s="150" t="str">
        <f>'2.Yhteenveto'!G11</f>
        <v>Akaa</v>
      </c>
      <c r="H9" s="6"/>
      <c r="I9" s="6"/>
      <c r="J9" s="6"/>
    </row>
    <row r="10" spans="2:10" ht="15.75" customHeight="1">
      <c r="B10" s="85" t="str">
        <f>'2.Yhteenveto'!B12</f>
        <v>Asukasluku 31.12.2018:</v>
      </c>
      <c r="E10" s="8"/>
      <c r="F10" s="150">
        <f>'2.Yhteenveto'!$H$12</f>
        <v>16611</v>
      </c>
      <c r="H10" s="6"/>
      <c r="I10" s="6"/>
      <c r="J10" s="6"/>
    </row>
    <row r="11" spans="2:10" ht="15.75" customHeight="1">
      <c r="B11" s="85"/>
      <c r="E11" s="8"/>
      <c r="G11" s="8"/>
      <c r="H11" s="208"/>
      <c r="I11" s="6"/>
      <c r="J11" s="6"/>
    </row>
    <row r="12" spans="2:10" ht="15.75" customHeight="1">
      <c r="B12" s="27" t="s">
        <v>582</v>
      </c>
      <c r="E12" s="8"/>
      <c r="G12" s="8"/>
      <c r="I12" s="6"/>
      <c r="J12" s="228">
        <f>INDEX(sair_0,MATCH($F$9,kunta,0),1,1)</f>
        <v>0.9418656686394621</v>
      </c>
    </row>
    <row r="13" spans="2:10" ht="15.75" customHeight="1" thickBot="1">
      <c r="B13" s="27"/>
      <c r="C13" s="109" t="s">
        <v>606</v>
      </c>
      <c r="D13" s="109"/>
      <c r="E13" s="201"/>
      <c r="F13" s="109"/>
      <c r="G13" s="201"/>
      <c r="H13" s="109"/>
      <c r="I13" s="201"/>
      <c r="J13" s="197">
        <v>1181.45</v>
      </c>
    </row>
    <row r="14" spans="2:10" ht="15.75" customHeight="1" thickTop="1">
      <c r="B14" s="27"/>
      <c r="E14" s="8"/>
      <c r="G14" s="8"/>
      <c r="I14" s="6"/>
      <c r="J14" s="14">
        <f>F10*J12*J13</f>
        <v>18484175.86309029</v>
      </c>
    </row>
    <row r="15" spans="3:10" ht="15.75" customHeight="1">
      <c r="C15" s="5" t="s">
        <v>503</v>
      </c>
      <c r="E15" s="8"/>
      <c r="G15" s="6"/>
      <c r="I15" s="15"/>
      <c r="J15" s="22">
        <f>INDEX(sair_1,MATCH($F$9,kunta,0),1,1)</f>
        <v>18484175.863090288</v>
      </c>
    </row>
    <row r="16" spans="3:10" ht="15.75" customHeight="1">
      <c r="C16" s="5"/>
      <c r="E16" s="8"/>
      <c r="G16" s="15"/>
      <c r="I16" s="15"/>
      <c r="J16" s="6"/>
    </row>
    <row r="17" spans="2:10" ht="15.75" customHeight="1">
      <c r="B17" s="27" t="s">
        <v>504</v>
      </c>
      <c r="C17" s="5"/>
      <c r="E17" s="8"/>
      <c r="G17" s="15"/>
      <c r="I17" s="15"/>
      <c r="J17" s="6"/>
    </row>
    <row r="18" spans="3:9" ht="15.75" customHeight="1">
      <c r="C18" s="1"/>
      <c r="G18" s="108"/>
      <c r="H18" s="15"/>
      <c r="I18" s="15"/>
    </row>
    <row r="19" spans="3:10" ht="15.75" customHeight="1">
      <c r="C19" s="12" t="s">
        <v>505</v>
      </c>
      <c r="F19" s="122" t="str">
        <f>$F$9</f>
        <v>Akaa</v>
      </c>
      <c r="G19" s="135" t="s">
        <v>509</v>
      </c>
      <c r="H19" s="24"/>
      <c r="I19" s="24"/>
      <c r="J19" s="25"/>
    </row>
    <row r="20" spans="4:10" ht="15.75" customHeight="1">
      <c r="D20" s="5" t="s">
        <v>506</v>
      </c>
      <c r="F20" s="30">
        <f>INDEX(muutla_1,MATCH($F$9,kunta,0),1,1)</f>
        <v>651</v>
      </c>
      <c r="G20" s="64">
        <f>SUM(muutla_1)</f>
        <v>255255</v>
      </c>
      <c r="H20" s="17"/>
      <c r="I20" s="18"/>
      <c r="J20" s="19"/>
    </row>
    <row r="21" spans="4:10" ht="15.75" customHeight="1" thickBot="1">
      <c r="D21" s="159" t="s">
        <v>508</v>
      </c>
      <c r="E21" s="185"/>
      <c r="F21" s="183">
        <f>INDEX(muutla_2,MATCH($F$9,kunta,0),1,1)</f>
        <v>7793</v>
      </c>
      <c r="G21" s="172">
        <f>SUM(muutla_2)</f>
        <v>2616366</v>
      </c>
      <c r="H21" s="17"/>
      <c r="I21" s="18"/>
      <c r="J21" s="19"/>
    </row>
    <row r="22" spans="4:9" ht="15.75" customHeight="1" thickTop="1">
      <c r="D22" s="5" t="s">
        <v>507</v>
      </c>
      <c r="F22" s="180">
        <f>F20/F21</f>
        <v>0.08353650712177595</v>
      </c>
      <c r="G22" s="179">
        <f>G20/G21</f>
        <v>0.09756089171010478</v>
      </c>
      <c r="H22" s="230">
        <f>F22/G22</f>
        <v>0.8562499343486806</v>
      </c>
      <c r="I22" s="18"/>
    </row>
    <row r="23" spans="3:10" ht="15.75" customHeight="1" thickBot="1">
      <c r="C23" s="109"/>
      <c r="D23" s="159" t="s">
        <v>406</v>
      </c>
      <c r="E23" s="109"/>
      <c r="F23" s="196"/>
      <c r="G23" s="109"/>
      <c r="H23" s="197">
        <v>91.82</v>
      </c>
      <c r="I23" s="195"/>
      <c r="J23" s="198" t="s">
        <v>361</v>
      </c>
    </row>
    <row r="24" spans="3:10" ht="15.75" customHeight="1" thickTop="1">
      <c r="C24" s="66" t="s">
        <v>526</v>
      </c>
      <c r="D24" s="15"/>
      <c r="H24" s="17"/>
      <c r="I24" s="18"/>
      <c r="J24" s="16">
        <f>H23*$F$10*H22</f>
        <v>1305971.2544921618</v>
      </c>
    </row>
    <row r="25" spans="4:10" ht="15.75" customHeight="1">
      <c r="D25" s="15"/>
      <c r="H25" s="17"/>
      <c r="I25" s="18"/>
      <c r="J25" s="19"/>
    </row>
    <row r="26" spans="3:10" ht="15.75" customHeight="1">
      <c r="C26" s="12" t="s">
        <v>510</v>
      </c>
      <c r="D26" s="5"/>
      <c r="F26" s="122" t="str">
        <f>$F$9</f>
        <v>Akaa</v>
      </c>
      <c r="G26" s="135" t="s">
        <v>509</v>
      </c>
      <c r="H26" s="24"/>
      <c r="I26" s="24"/>
      <c r="J26" s="25"/>
    </row>
    <row r="27" spans="4:10" ht="15.75" customHeight="1">
      <c r="D27" s="5" t="s">
        <v>511</v>
      </c>
      <c r="F27" s="30">
        <f>INDEX(muutla_4,MATCH($F$9,kunta,0),1,1)</f>
        <v>363</v>
      </c>
      <c r="G27" s="64">
        <f>SUM(muutla_4)</f>
        <v>389208</v>
      </c>
      <c r="H27" s="17"/>
      <c r="I27" s="18"/>
      <c r="J27" s="19"/>
    </row>
    <row r="28" spans="4:10" ht="15.75" customHeight="1">
      <c r="D28" s="192" t="s">
        <v>512</v>
      </c>
      <c r="E28" s="54"/>
      <c r="F28" s="182">
        <f>F27/$F$10</f>
        <v>0.0218529889832039</v>
      </c>
      <c r="G28" s="187">
        <f>SUM(muutla_4)/SUM(vosC)</f>
        <v>0.0709181451605556</v>
      </c>
      <c r="H28" s="17"/>
      <c r="I28" s="18"/>
      <c r="J28" s="19"/>
    </row>
    <row r="29" spans="4:10" ht="15.75" customHeight="1" thickBot="1">
      <c r="D29" s="193" t="s">
        <v>513</v>
      </c>
      <c r="E29" s="189"/>
      <c r="F29" s="190"/>
      <c r="G29" s="191">
        <f>MIN(muutla_5)</f>
        <v>0.0032810791104629965</v>
      </c>
      <c r="H29" s="17"/>
      <c r="I29" s="18"/>
      <c r="J29" s="19"/>
    </row>
    <row r="30" spans="4:9" ht="15.75" customHeight="1" thickTop="1">
      <c r="D30" s="5" t="s">
        <v>514</v>
      </c>
      <c r="F30" s="180"/>
      <c r="G30" s="179"/>
      <c r="H30" s="182">
        <f>F28-G29</f>
        <v>0.018571909872740905</v>
      </c>
      <c r="I30" s="18"/>
    </row>
    <row r="31" spans="3:10" ht="15.75" customHeight="1" thickBot="1">
      <c r="C31" s="109"/>
      <c r="D31" s="159" t="s">
        <v>406</v>
      </c>
      <c r="E31" s="109"/>
      <c r="F31" s="196"/>
      <c r="G31" s="109"/>
      <c r="H31" s="199">
        <v>1988.3</v>
      </c>
      <c r="I31" s="195"/>
      <c r="J31" s="198" t="s">
        <v>361</v>
      </c>
    </row>
    <row r="32" spans="3:10" ht="15.75" customHeight="1" thickTop="1">
      <c r="C32" s="66" t="s">
        <v>527</v>
      </c>
      <c r="D32" s="15"/>
      <c r="H32" s="17"/>
      <c r="I32" s="18"/>
      <c r="J32" s="16">
        <f>H31*$F$10*H30</f>
        <v>613386.563251914</v>
      </c>
    </row>
    <row r="33" spans="4:9" ht="15.75" customHeight="1">
      <c r="D33" s="15"/>
      <c r="H33" s="17"/>
      <c r="I33" s="18"/>
    </row>
    <row r="34" spans="3:10" ht="15.75" customHeight="1">
      <c r="C34" s="12" t="s">
        <v>393</v>
      </c>
      <c r="D34" s="5"/>
      <c r="F34" s="177"/>
      <c r="G34" s="178"/>
      <c r="H34" s="24"/>
      <c r="I34" s="24"/>
      <c r="J34" s="25"/>
    </row>
    <row r="35" spans="4:10" ht="15.75" customHeight="1">
      <c r="D35" s="5" t="s">
        <v>515</v>
      </c>
      <c r="G35" s="30">
        <f>INDEX(muutla_7,MATCH($F$9,kunta,0),1,1)</f>
        <v>0</v>
      </c>
      <c r="H35" s="17"/>
      <c r="I35" s="18"/>
      <c r="J35" s="19"/>
    </row>
    <row r="36" spans="4:10" ht="15.75" customHeight="1">
      <c r="D36" s="5"/>
      <c r="E36" s="66" t="s">
        <v>516</v>
      </c>
      <c r="G36" s="17"/>
      <c r="H36" s="17"/>
      <c r="I36" s="18"/>
      <c r="J36" s="19"/>
    </row>
    <row r="37" spans="4:10" ht="15.75" customHeight="1">
      <c r="D37" s="5"/>
      <c r="E37" s="66" t="s">
        <v>517</v>
      </c>
      <c r="G37" s="17"/>
      <c r="H37" s="17"/>
      <c r="I37" s="18"/>
      <c r="J37" s="19"/>
    </row>
    <row r="38" spans="4:10" ht="15.75" customHeight="1">
      <c r="D38" s="5"/>
      <c r="E38" s="66" t="s">
        <v>518</v>
      </c>
      <c r="G38" s="17"/>
      <c r="H38" s="17"/>
      <c r="I38" s="18"/>
      <c r="J38" s="19"/>
    </row>
    <row r="39" spans="4:10" ht="15.75" customHeight="1">
      <c r="D39" s="5"/>
      <c r="E39" s="66" t="s">
        <v>519</v>
      </c>
      <c r="G39" s="17"/>
      <c r="H39" s="17"/>
      <c r="I39" s="18"/>
      <c r="J39" s="19"/>
    </row>
    <row r="40" spans="4:10" ht="15.75" customHeight="1">
      <c r="D40" s="5"/>
      <c r="E40" s="66"/>
      <c r="F40" s="122" t="str">
        <f>$F$9</f>
        <v>Akaa</v>
      </c>
      <c r="G40" s="135" t="s">
        <v>509</v>
      </c>
      <c r="H40" s="17"/>
      <c r="I40" s="18"/>
      <c r="J40" s="19"/>
    </row>
    <row r="41" spans="4:10" ht="15.75" customHeight="1">
      <c r="D41" s="5" t="s">
        <v>522</v>
      </c>
      <c r="E41" s="66"/>
      <c r="F41" s="30">
        <f>INDEX(muutla_8,MATCH($F$9,kunta,0),1,1)</f>
        <v>29</v>
      </c>
      <c r="G41" s="64">
        <f>SUM(muutla_8)</f>
        <v>262552</v>
      </c>
      <c r="H41" s="17"/>
      <c r="I41" s="18"/>
      <c r="J41" s="19"/>
    </row>
    <row r="42" spans="4:10" ht="15.75" customHeight="1">
      <c r="D42" s="5" t="s">
        <v>406</v>
      </c>
      <c r="F42" s="180"/>
      <c r="H42" s="98">
        <v>283.07</v>
      </c>
      <c r="I42" s="18"/>
      <c r="J42" s="166" t="s">
        <v>361</v>
      </c>
    </row>
    <row r="43" spans="4:10" ht="15.75" customHeight="1">
      <c r="D43" s="5" t="s">
        <v>520</v>
      </c>
      <c r="E43" s="66"/>
      <c r="G43" s="17"/>
      <c r="H43" s="17"/>
      <c r="I43" s="18"/>
      <c r="J43" s="19">
        <f>IF(OR($G$35=1,$G$35=3),$F$10*$H$42*0.07,0)</f>
        <v>0</v>
      </c>
    </row>
    <row r="44" spans="3:10" ht="15.75" customHeight="1" thickBot="1">
      <c r="C44" s="109"/>
      <c r="D44" s="159" t="s">
        <v>521</v>
      </c>
      <c r="E44" s="184"/>
      <c r="F44" s="109"/>
      <c r="G44" s="194"/>
      <c r="H44" s="194"/>
      <c r="I44" s="195"/>
      <c r="J44" s="110">
        <f>IF(OR($G$35=1,$G$35=3),$H$42*F41*0.93,0)</f>
        <v>0</v>
      </c>
    </row>
    <row r="45" spans="3:10" ht="15.75" customHeight="1" thickTop="1">
      <c r="C45" s="66" t="s">
        <v>528</v>
      </c>
      <c r="D45" s="5"/>
      <c r="E45" s="66"/>
      <c r="G45" s="17"/>
      <c r="H45" s="17"/>
      <c r="I45" s="18"/>
      <c r="J45" s="16">
        <f>SUM(J43:J44)</f>
        <v>0</v>
      </c>
    </row>
    <row r="46" spans="4:10" ht="15.75" customHeight="1">
      <c r="D46" s="66"/>
      <c r="E46" s="66"/>
      <c r="G46" s="17"/>
      <c r="H46" s="17"/>
      <c r="I46" s="18"/>
      <c r="J46" s="19"/>
    </row>
    <row r="47" spans="3:10" ht="15.75" customHeight="1">
      <c r="C47" s="12" t="s">
        <v>523</v>
      </c>
      <c r="D47" s="5"/>
      <c r="F47" s="177"/>
      <c r="G47" s="178"/>
      <c r="H47" s="24"/>
      <c r="I47" s="24"/>
      <c r="J47" s="25"/>
    </row>
    <row r="48" spans="4:10" ht="15.75" customHeight="1">
      <c r="D48" s="5" t="s">
        <v>524</v>
      </c>
      <c r="G48" s="30">
        <f>INDEX(muutla_10,MATCH($F$9,kunta,0),1,1)</f>
        <v>0</v>
      </c>
      <c r="H48" s="17"/>
      <c r="I48" s="18"/>
      <c r="J48" s="19"/>
    </row>
    <row r="49" spans="4:10" ht="15.75" customHeight="1">
      <c r="D49" s="5"/>
      <c r="E49" s="66" t="s">
        <v>525</v>
      </c>
      <c r="G49" s="17"/>
      <c r="H49" s="17"/>
      <c r="I49" s="18"/>
      <c r="J49" s="19"/>
    </row>
    <row r="50" spans="4:10" ht="15.75" customHeight="1">
      <c r="D50" s="5"/>
      <c r="E50" s="66" t="s">
        <v>585</v>
      </c>
      <c r="G50" s="17"/>
      <c r="H50" s="17"/>
      <c r="I50" s="18"/>
      <c r="J50" s="19"/>
    </row>
    <row r="51" spans="4:10" ht="15.75" customHeight="1">
      <c r="D51" s="5"/>
      <c r="E51" s="66" t="s">
        <v>584</v>
      </c>
      <c r="G51" s="17"/>
      <c r="H51" s="17"/>
      <c r="I51" s="18"/>
      <c r="J51" s="19"/>
    </row>
    <row r="52" spans="4:10" ht="15.75" customHeight="1">
      <c r="D52" s="5"/>
      <c r="E52" s="66" t="s">
        <v>586</v>
      </c>
      <c r="G52" s="17"/>
      <c r="H52" s="17"/>
      <c r="I52" s="18"/>
      <c r="J52" s="166"/>
    </row>
    <row r="53" spans="3:10" ht="15.75" customHeight="1" thickBot="1">
      <c r="C53" s="109"/>
      <c r="D53" s="159" t="s">
        <v>406</v>
      </c>
      <c r="E53" s="109"/>
      <c r="F53" s="196"/>
      <c r="G53" s="109"/>
      <c r="H53" s="199">
        <v>389.61</v>
      </c>
      <c r="I53" s="195"/>
      <c r="J53" s="198" t="s">
        <v>361</v>
      </c>
    </row>
    <row r="54" spans="3:10" ht="15.75" customHeight="1" thickTop="1">
      <c r="C54" s="66" t="s">
        <v>529</v>
      </c>
      <c r="D54" s="15"/>
      <c r="H54" s="17"/>
      <c r="I54" s="18"/>
      <c r="J54" s="16">
        <f>IF($G$48=2,3*$H$53*$F$10,IF($G$48=1,$H$53*$F$10,0))</f>
        <v>0</v>
      </c>
    </row>
    <row r="55" spans="4:10" ht="15.75" customHeight="1">
      <c r="D55" s="66"/>
      <c r="E55" s="66"/>
      <c r="G55" s="17"/>
      <c r="H55" s="17"/>
      <c r="I55" s="18"/>
      <c r="J55" s="19"/>
    </row>
    <row r="56" spans="3:10" ht="15.75" customHeight="1">
      <c r="C56" s="12" t="s">
        <v>580</v>
      </c>
      <c r="D56" s="5"/>
      <c r="F56" s="177"/>
      <c r="G56" s="17">
        <f>G48</f>
        <v>0</v>
      </c>
      <c r="H56" s="24"/>
      <c r="I56" s="24"/>
      <c r="J56" s="25"/>
    </row>
    <row r="57" spans="4:10" ht="15.75" customHeight="1">
      <c r="D57" s="5" t="s">
        <v>587</v>
      </c>
      <c r="G57" s="30">
        <f>INDEX(muutla_18,MATCH($F$9,kunta,0),1,1)</f>
        <v>0</v>
      </c>
      <c r="H57" s="17"/>
      <c r="I57" s="18"/>
      <c r="J57" s="19"/>
    </row>
    <row r="58" spans="3:10" ht="15.75" customHeight="1" thickBot="1">
      <c r="C58" s="109"/>
      <c r="D58" s="159" t="s">
        <v>406</v>
      </c>
      <c r="E58" s="109"/>
      <c r="F58" s="196"/>
      <c r="G58" s="109"/>
      <c r="H58" s="199">
        <v>285.01153243589</v>
      </c>
      <c r="I58" s="195"/>
      <c r="J58" s="198" t="s">
        <v>361</v>
      </c>
    </row>
    <row r="59" spans="3:10" ht="15.75" customHeight="1" thickTop="1">
      <c r="C59" s="66" t="s">
        <v>581</v>
      </c>
      <c r="D59" s="15"/>
      <c r="H59" s="17"/>
      <c r="I59" s="18"/>
      <c r="J59" s="16">
        <f>IF($G$48=3,$H$58*$G$57,0)</f>
        <v>0</v>
      </c>
    </row>
    <row r="60" spans="4:10" ht="15.75" customHeight="1">
      <c r="D60" s="66"/>
      <c r="E60" s="66"/>
      <c r="G60" s="17"/>
      <c r="H60" s="17"/>
      <c r="I60" s="18"/>
      <c r="J60" s="19"/>
    </row>
    <row r="61" spans="3:10" ht="15.75" customHeight="1">
      <c r="C61" s="12" t="s">
        <v>498</v>
      </c>
      <c r="D61" s="5"/>
      <c r="F61" s="122" t="str">
        <f>$F$9</f>
        <v>Akaa</v>
      </c>
      <c r="G61" s="135" t="s">
        <v>509</v>
      </c>
      <c r="H61" s="24"/>
      <c r="I61" s="24"/>
      <c r="J61" s="25"/>
    </row>
    <row r="62" spans="4:10" ht="15.75" customHeight="1">
      <c r="D62" s="5" t="s">
        <v>530</v>
      </c>
      <c r="F62" s="30">
        <f>INDEX(muutla_11,MATCH($F$9,kunta,0),1,1)</f>
        <v>293.26</v>
      </c>
      <c r="G62" s="64">
        <f>SUM(muutla_11)</f>
        <v>302367.61000000004</v>
      </c>
      <c r="H62" s="17"/>
      <c r="I62" s="18"/>
      <c r="J62" s="19"/>
    </row>
    <row r="63" spans="4:10" ht="15.75" customHeight="1">
      <c r="D63" s="192" t="s">
        <v>498</v>
      </c>
      <c r="E63" s="54"/>
      <c r="F63" s="52">
        <f>$F$10/F62</f>
        <v>56.64256973334243</v>
      </c>
      <c r="G63" s="200">
        <f>SUM(vosC)/G62</f>
        <v>18.15052214091317</v>
      </c>
      <c r="H63" s="17"/>
      <c r="I63" s="18"/>
      <c r="J63" s="19"/>
    </row>
    <row r="64" spans="4:9" ht="15.75" customHeight="1">
      <c r="D64" s="5" t="s">
        <v>532</v>
      </c>
      <c r="F64" s="180"/>
      <c r="G64" s="179"/>
      <c r="H64" s="52">
        <f>$G$63/$F$63</f>
        <v>0.32043959563206287</v>
      </c>
      <c r="I64" s="18"/>
    </row>
    <row r="65" spans="3:10" ht="15.75" customHeight="1" thickBot="1">
      <c r="C65" s="109"/>
      <c r="D65" s="159" t="s">
        <v>406</v>
      </c>
      <c r="E65" s="109"/>
      <c r="F65" s="196"/>
      <c r="G65" s="109"/>
      <c r="H65" s="199">
        <v>39.99</v>
      </c>
      <c r="I65" s="195"/>
      <c r="J65" s="198" t="s">
        <v>361</v>
      </c>
    </row>
    <row r="66" spans="3:10" ht="15.75" customHeight="1" thickTop="1">
      <c r="C66" s="66" t="s">
        <v>531</v>
      </c>
      <c r="D66" s="15"/>
      <c r="H66" s="17"/>
      <c r="I66" s="18"/>
      <c r="J66" s="16">
        <f>$H$65*$F$10*MIN(20,H64)</f>
        <v>212859.65670053742</v>
      </c>
    </row>
    <row r="67" spans="4:10" ht="15.75" customHeight="1">
      <c r="D67" s="66"/>
      <c r="E67" s="66"/>
      <c r="G67" s="17"/>
      <c r="H67" s="17"/>
      <c r="I67" s="18"/>
      <c r="J67" s="19"/>
    </row>
    <row r="68" spans="3:10" ht="15.75" customHeight="1">
      <c r="C68" s="12" t="s">
        <v>533</v>
      </c>
      <c r="D68" s="5"/>
      <c r="F68" s="122" t="str">
        <f>$F$9</f>
        <v>Akaa</v>
      </c>
      <c r="G68" s="135" t="s">
        <v>509</v>
      </c>
      <c r="H68" s="24"/>
      <c r="I68" s="24"/>
      <c r="J68" s="25"/>
    </row>
    <row r="69" spans="3:10" ht="15.75" customHeight="1">
      <c r="C69" s="12"/>
      <c r="D69" s="5" t="s">
        <v>534</v>
      </c>
      <c r="F69" s="122"/>
      <c r="G69" s="135"/>
      <c r="H69" s="24"/>
      <c r="I69" s="24"/>
      <c r="J69" s="25"/>
    </row>
    <row r="70" spans="6:10" ht="15.75" customHeight="1">
      <c r="F70" s="30">
        <f>INDEX(muutla_14,MATCH($F$9,kunta,0),1,1)</f>
        <v>697</v>
      </c>
      <c r="G70" s="64">
        <f>SUM(muutla_14)</f>
        <v>247835</v>
      </c>
      <c r="H70" s="17"/>
      <c r="I70" s="18"/>
      <c r="J70" s="19"/>
    </row>
    <row r="71" spans="4:10" ht="15.75" customHeight="1">
      <c r="D71" s="192" t="s">
        <v>535</v>
      </c>
      <c r="E71" s="54"/>
      <c r="F71" s="30">
        <f>INDEX(muutla_15,MATCH($F$9,kunta,0),1,1)</f>
        <v>5582</v>
      </c>
      <c r="G71" s="64">
        <f>SUM(muutla_15)</f>
        <v>1723636</v>
      </c>
      <c r="H71" s="17"/>
      <c r="I71" s="18"/>
      <c r="J71" s="19"/>
    </row>
    <row r="72" spans="4:10" ht="15.75" customHeight="1">
      <c r="D72" s="192"/>
      <c r="E72" s="53"/>
      <c r="F72" s="182">
        <f>F70/F71</f>
        <v>0.1248656395557148</v>
      </c>
      <c r="G72" s="187">
        <f>G70/G71</f>
        <v>0.14378615902661582</v>
      </c>
      <c r="H72" s="17"/>
      <c r="I72" s="18"/>
      <c r="J72" s="19"/>
    </row>
    <row r="73" spans="4:10" ht="15.75" customHeight="1" thickBot="1">
      <c r="D73" s="193" t="s">
        <v>513</v>
      </c>
      <c r="E73" s="109"/>
      <c r="F73" s="186"/>
      <c r="G73" s="186">
        <f>MIN(muutla_16)</f>
        <v>0.06118383608423449</v>
      </c>
      <c r="H73" s="17"/>
      <c r="I73" s="18"/>
      <c r="J73" s="19"/>
    </row>
    <row r="74" spans="4:9" ht="15.75" customHeight="1" thickTop="1">
      <c r="D74" s="5" t="s">
        <v>537</v>
      </c>
      <c r="F74" s="180"/>
      <c r="G74" s="179"/>
      <c r="H74" s="181">
        <f>F72-G73</f>
        <v>0.06368180347148031</v>
      </c>
      <c r="I74" s="18"/>
    </row>
    <row r="75" spans="3:10" ht="15.75" customHeight="1" thickBot="1">
      <c r="C75" s="109"/>
      <c r="D75" s="159" t="s">
        <v>406</v>
      </c>
      <c r="E75" s="109"/>
      <c r="F75" s="196"/>
      <c r="G75" s="109"/>
      <c r="H75" s="199">
        <v>406.45</v>
      </c>
      <c r="I75" s="195"/>
      <c r="J75" s="198" t="s">
        <v>361</v>
      </c>
    </row>
    <row r="76" spans="3:10" ht="15.75" customHeight="1" thickTop="1">
      <c r="C76" s="66" t="s">
        <v>531</v>
      </c>
      <c r="D76" s="15"/>
      <c r="H76" s="17"/>
      <c r="I76" s="18"/>
      <c r="J76" s="16">
        <f>$H$75*$F$10*H74</f>
        <v>429950.30390755145</v>
      </c>
    </row>
    <row r="77" spans="4:10" ht="15.75" customHeight="1">
      <c r="D77" s="66"/>
      <c r="E77" s="66"/>
      <c r="G77" s="17"/>
      <c r="H77" s="17"/>
      <c r="I77" s="18"/>
      <c r="J77" s="19"/>
    </row>
    <row r="78" spans="3:10" ht="12.75" customHeight="1">
      <c r="C78" s="12"/>
      <c r="G78" s="9"/>
      <c r="H78" s="20"/>
      <c r="I78" s="20"/>
      <c r="J78" s="22"/>
    </row>
    <row r="79" spans="2:10" ht="15.75" customHeight="1">
      <c r="B79" s="82" t="s">
        <v>538</v>
      </c>
      <c r="C79" s="83"/>
      <c r="D79" s="83"/>
      <c r="E79" s="93"/>
      <c r="F79" s="83"/>
      <c r="G79" s="130"/>
      <c r="H79" s="165"/>
      <c r="I79" s="165"/>
      <c r="J79" s="99">
        <f>J24+J32+J45+J54+J59+J66+J76</f>
        <v>2562167.7783521647</v>
      </c>
    </row>
    <row r="80" spans="5:10" ht="12" customHeight="1">
      <c r="E80" s="13"/>
      <c r="G80" s="23"/>
      <c r="H80" s="8"/>
      <c r="I80" s="8"/>
      <c r="J80" s="8"/>
    </row>
    <row r="81" spans="7:10" ht="12" customHeight="1">
      <c r="G81" s="27"/>
      <c r="H81" s="27"/>
      <c r="I81" s="27"/>
      <c r="J81" s="27"/>
    </row>
    <row r="82" spans="1:10" ht="15.75" customHeight="1">
      <c r="A82" s="92" t="s">
        <v>539</v>
      </c>
      <c r="B82" s="83"/>
      <c r="C82" s="83"/>
      <c r="D82" s="83"/>
      <c r="E82" s="83"/>
      <c r="F82" s="83"/>
      <c r="G82" s="93"/>
      <c r="H82" s="93"/>
      <c r="I82" s="93"/>
      <c r="J82" s="99">
        <f>J15+J79</f>
        <v>21046343.64144245</v>
      </c>
    </row>
    <row r="83" spans="6:10" ht="15.75" customHeight="1">
      <c r="F83" s="12"/>
      <c r="G83" s="27"/>
      <c r="H83" s="27"/>
      <c r="I83" s="27"/>
      <c r="J83" s="135" t="s">
        <v>405</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36"/>
  <sheetViews>
    <sheetView zoomScalePageLayoutView="0" workbookViewId="0" topLeftCell="A1">
      <selection activeCell="A4" sqref="A4"/>
    </sheetView>
  </sheetViews>
  <sheetFormatPr defaultColWidth="9.140625" defaultRowHeight="12.75"/>
  <cols>
    <col min="1" max="2" width="2.28125" style="8" customWidth="1"/>
    <col min="3" max="4" width="3.8515625" style="8" customWidth="1"/>
    <col min="5" max="5" width="23.7109375" style="8" customWidth="1"/>
    <col min="6" max="6" width="13.57421875" style="8" customWidth="1"/>
    <col min="7" max="7" width="10.8515625" style="8" bestFit="1" customWidth="1"/>
    <col min="8" max="8" width="10.421875" style="8" customWidth="1"/>
    <col min="9" max="9" width="7.00390625" style="26" customWidth="1"/>
    <col min="10" max="10" width="12.140625" style="19" customWidth="1"/>
    <col min="11" max="16384" width="9.140625" style="8" customWidth="1"/>
  </cols>
  <sheetData>
    <row r="1" spans="1:6" ht="15.75">
      <c r="A1" s="80" t="str">
        <f>'2.Yhteenveto'!A1</f>
        <v>11.9.2019, Kuntaliitto / Sanna Lehtonen</v>
      </c>
      <c r="E1" s="48"/>
      <c r="F1" s="48"/>
    </row>
    <row r="2" spans="5:6" ht="15.75">
      <c r="E2" s="48"/>
      <c r="F2" s="48"/>
    </row>
    <row r="3" spans="1:10" ht="18">
      <c r="A3" s="499" t="s">
        <v>1177</v>
      </c>
      <c r="B3" s="500"/>
      <c r="C3" s="500"/>
      <c r="D3" s="500"/>
      <c r="E3" s="500"/>
      <c r="F3" s="500"/>
      <c r="G3" s="500"/>
      <c r="H3" s="500"/>
      <c r="I3" s="500"/>
      <c r="J3" s="501"/>
    </row>
    <row r="4" spans="5:6" ht="12.75">
      <c r="E4" s="7"/>
      <c r="F4" s="7"/>
    </row>
    <row r="5" spans="3:6" ht="12.75">
      <c r="C5" s="55" t="s">
        <v>40</v>
      </c>
      <c r="D5" s="28"/>
      <c r="E5" s="40"/>
      <c r="F5" s="56" t="s">
        <v>404</v>
      </c>
    </row>
    <row r="6" spans="3:6" ht="12.75">
      <c r="C6" s="28"/>
      <c r="D6" s="28"/>
      <c r="E6" s="102"/>
      <c r="F6" s="56" t="s">
        <v>407</v>
      </c>
    </row>
    <row r="7" spans="5:6" ht="12.75">
      <c r="E7" s="7"/>
      <c r="F7" s="7"/>
    </row>
    <row r="8" spans="2:6" ht="12.75">
      <c r="B8" s="85" t="s">
        <v>0</v>
      </c>
      <c r="E8" s="12"/>
      <c r="F8" s="167" t="str">
        <f>'2.Yhteenveto'!G11</f>
        <v>Akaa</v>
      </c>
    </row>
    <row r="9" spans="2:6" ht="12.75">
      <c r="B9" s="85" t="str">
        <f>'2.Yhteenveto'!B12</f>
        <v>Asukasluku 31.12.2018:</v>
      </c>
      <c r="E9" s="7"/>
      <c r="F9" s="150">
        <f>'2.Yhteenveto'!$H$12</f>
        <v>16611</v>
      </c>
    </row>
    <row r="10" ht="12.75">
      <c r="H10" s="50"/>
    </row>
    <row r="11" spans="3:10" ht="12.75">
      <c r="C11" s="27" t="s">
        <v>395</v>
      </c>
      <c r="G11" s="10"/>
      <c r="H11" s="11"/>
      <c r="I11" s="69"/>
      <c r="J11" s="68"/>
    </row>
    <row r="12" spans="3:10" ht="12.75">
      <c r="C12" s="28"/>
      <c r="D12" s="5" t="s">
        <v>406</v>
      </c>
      <c r="E12"/>
      <c r="F12" s="180"/>
      <c r="G12"/>
      <c r="H12" s="98">
        <v>216.33</v>
      </c>
      <c r="I12" s="69"/>
      <c r="J12" s="68"/>
    </row>
    <row r="13" spans="3:10" ht="12.75">
      <c r="C13" s="28"/>
      <c r="D13" s="28" t="s">
        <v>540</v>
      </c>
      <c r="G13" s="181">
        <f>INDEX(lo_1,MATCH($F$8,kunta,0),1,1)</f>
        <v>0</v>
      </c>
      <c r="H13" s="11"/>
      <c r="I13" s="69"/>
      <c r="J13" s="68"/>
    </row>
    <row r="14" spans="4:9" ht="12.75">
      <c r="D14" s="28" t="s">
        <v>543</v>
      </c>
      <c r="G14" s="31"/>
      <c r="H14" s="115" t="s">
        <v>408</v>
      </c>
      <c r="I14" s="164">
        <v>1</v>
      </c>
    </row>
    <row r="15" spans="4:9" ht="12.75">
      <c r="D15" s="28" t="s">
        <v>542</v>
      </c>
      <c r="G15" s="31"/>
      <c r="H15" s="115" t="s">
        <v>408</v>
      </c>
      <c r="I15" s="163">
        <v>1.5</v>
      </c>
    </row>
    <row r="16" spans="3:10" ht="13.5" thickBot="1">
      <c r="C16" s="201"/>
      <c r="D16" s="202" t="s">
        <v>541</v>
      </c>
      <c r="E16" s="201"/>
      <c r="F16" s="201"/>
      <c r="G16" s="107"/>
      <c r="H16" s="203" t="s">
        <v>408</v>
      </c>
      <c r="I16" s="204">
        <v>3</v>
      </c>
      <c r="J16" s="198" t="s">
        <v>361</v>
      </c>
    </row>
    <row r="17" spans="3:10" ht="13.5" thickTop="1">
      <c r="C17" s="116" t="s">
        <v>544</v>
      </c>
      <c r="D17" s="36"/>
      <c r="H17" s="115"/>
      <c r="I17" s="164"/>
      <c r="J17" s="16">
        <f>IF(G13&gt;=1.5,3*($H$12*$F$9*G13),IF(G13&gt;=1,1.5*($H$12*$F$9*G13),($H$12*$F$9*G13)))</f>
        <v>0</v>
      </c>
    </row>
    <row r="18" spans="4:9" ht="12.75">
      <c r="D18" s="36"/>
      <c r="H18" s="115"/>
      <c r="I18" s="164"/>
    </row>
    <row r="19" spans="3:9" ht="12.75">
      <c r="C19" s="27" t="s">
        <v>545</v>
      </c>
      <c r="F19" s="122" t="str">
        <f>$F$8</f>
        <v>Akaa</v>
      </c>
      <c r="G19" s="135" t="s">
        <v>509</v>
      </c>
      <c r="H19" s="115"/>
      <c r="I19" s="164"/>
    </row>
    <row r="20" spans="4:9" ht="15.75" customHeight="1">
      <c r="D20" s="5" t="s">
        <v>546</v>
      </c>
      <c r="F20" s="30">
        <f>INDEX(lo_2,MATCH($F$8,kunta,0),1,1)</f>
        <v>4512</v>
      </c>
      <c r="G20" s="64">
        <f>SUM(lo_2)</f>
        <v>2259894</v>
      </c>
      <c r="H20" s="17"/>
      <c r="I20" s="18"/>
    </row>
    <row r="21" spans="4:9" ht="15.75" customHeight="1">
      <c r="D21" s="192" t="s">
        <v>547</v>
      </c>
      <c r="E21" s="54"/>
      <c r="F21" s="30">
        <f>INDEX(lo_3,MATCH($F$8,kunta,0),1,1)</f>
        <v>6657</v>
      </c>
      <c r="G21" s="205">
        <f>SUM(lo_3)</f>
        <v>2261081</v>
      </c>
      <c r="H21" s="17"/>
      <c r="I21" s="18"/>
    </row>
    <row r="22" spans="4:9" ht="15.75" customHeight="1">
      <c r="D22" s="5" t="s">
        <v>536</v>
      </c>
      <c r="F22" s="180">
        <f>F20/F21</f>
        <v>0.6777827850383056</v>
      </c>
      <c r="G22" s="179">
        <f>G20/G21</f>
        <v>0.999475029864034</v>
      </c>
      <c r="I22" s="18"/>
    </row>
    <row r="23" spans="4:9" ht="15.75" customHeight="1">
      <c r="D23" s="5" t="s">
        <v>513</v>
      </c>
      <c r="F23" s="180"/>
      <c r="G23" s="179"/>
      <c r="H23" s="182">
        <f>MIN(lo_4)</f>
        <v>0.4089068825910931</v>
      </c>
      <c r="I23" s="18"/>
    </row>
    <row r="24" spans="4:9" ht="15.75" customHeight="1">
      <c r="D24" s="5" t="s">
        <v>548</v>
      </c>
      <c r="F24" s="180"/>
      <c r="G24" s="179"/>
      <c r="H24" s="188">
        <f>F22-H23</f>
        <v>0.2688759024472125</v>
      </c>
      <c r="I24" s="18"/>
    </row>
    <row r="25" spans="3:10" ht="15.75" customHeight="1" thickBot="1">
      <c r="C25" s="109"/>
      <c r="D25" s="159" t="s">
        <v>406</v>
      </c>
      <c r="E25" s="109"/>
      <c r="F25" s="196"/>
      <c r="G25" s="109"/>
      <c r="H25" s="197">
        <v>65.66</v>
      </c>
      <c r="I25" s="195"/>
      <c r="J25" s="198" t="s">
        <v>361</v>
      </c>
    </row>
    <row r="26" spans="3:10" ht="15.75" customHeight="1" thickTop="1">
      <c r="C26" s="66" t="s">
        <v>526</v>
      </c>
      <c r="D26" s="15"/>
      <c r="H26" s="17"/>
      <c r="I26" s="18"/>
      <c r="J26" s="16">
        <f>$F$9*$H$25*H24</f>
        <v>293257.10143705545</v>
      </c>
    </row>
    <row r="27" ht="12.75">
      <c r="H27" s="115"/>
    </row>
    <row r="28" spans="3:8" ht="12.75">
      <c r="C28" s="27" t="s">
        <v>549</v>
      </c>
      <c r="H28" s="115"/>
    </row>
    <row r="29" spans="3:8" ht="12.75">
      <c r="C29" s="27"/>
      <c r="D29" s="28" t="s">
        <v>550</v>
      </c>
      <c r="G29" s="31">
        <f>INDEX(lo_6,MATCH($F$8,kunta,0),1,1)</f>
        <v>0</v>
      </c>
      <c r="H29" s="115"/>
    </row>
    <row r="30" spans="4:9" ht="15.75" customHeight="1">
      <c r="D30" s="5" t="s">
        <v>551</v>
      </c>
      <c r="F30" s="30">
        <f>INDEX(lo_7,MATCH($F$8,kunta,0),1,1)</f>
        <v>0</v>
      </c>
      <c r="G30" s="64">
        <f>SUM(lo_7)</f>
        <v>1995</v>
      </c>
      <c r="H30" s="17"/>
      <c r="I30" s="18"/>
    </row>
    <row r="31" spans="3:10" ht="15.75" customHeight="1" thickBot="1">
      <c r="C31" s="109"/>
      <c r="D31" s="159" t="s">
        <v>406</v>
      </c>
      <c r="E31" s="109"/>
      <c r="F31" s="196"/>
      <c r="G31" s="109"/>
      <c r="H31" s="199">
        <v>2747.65</v>
      </c>
      <c r="I31" s="195"/>
      <c r="J31" s="198" t="s">
        <v>361</v>
      </c>
    </row>
    <row r="32" spans="3:10" ht="13.5" thickTop="1">
      <c r="C32" s="27"/>
      <c r="D32" s="28"/>
      <c r="G32" s="26"/>
      <c r="H32" s="115"/>
      <c r="J32" s="16">
        <f>IF(G29=1,$H$31*$F$9*(F30/F9),0)</f>
        <v>0</v>
      </c>
    </row>
    <row r="33" spans="3:8" ht="12.75">
      <c r="C33" s="27"/>
      <c r="D33" s="28"/>
      <c r="G33" s="26"/>
      <c r="H33" s="115"/>
    </row>
    <row r="35" spans="2:10" ht="15.75" customHeight="1">
      <c r="B35" s="92" t="s">
        <v>552</v>
      </c>
      <c r="C35" s="130"/>
      <c r="D35" s="130"/>
      <c r="E35" s="130"/>
      <c r="F35" s="93"/>
      <c r="G35" s="130"/>
      <c r="H35" s="130"/>
      <c r="I35" s="165"/>
      <c r="J35" s="99">
        <f>SUM(J14:J33)</f>
        <v>293257.10143705545</v>
      </c>
    </row>
    <row r="36" ht="12.75">
      <c r="J36" s="135" t="s">
        <v>405</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V107"/>
  <sheetViews>
    <sheetView zoomScalePageLayoutView="0" workbookViewId="0" topLeftCell="A55">
      <selection activeCell="K98" sqref="K98"/>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75">
      <c r="A1" s="80" t="str">
        <f>'2.Yhteenveto'!A1</f>
        <v>11.9.2019, Kuntaliitto / Sanna Lehtonen</v>
      </c>
      <c r="F1" s="48"/>
      <c r="G1" s="48"/>
      <c r="H1" s="70"/>
      <c r="I1" s="64"/>
    </row>
    <row r="2" spans="6:9" ht="12.75">
      <c r="F2" s="61"/>
      <c r="G2" s="61"/>
      <c r="H2" s="70"/>
      <c r="I2" s="64"/>
    </row>
    <row r="3" spans="1:9" ht="18">
      <c r="A3" s="499" t="s">
        <v>1148</v>
      </c>
      <c r="B3" s="500"/>
      <c r="C3" s="500"/>
      <c r="D3" s="500"/>
      <c r="E3" s="500"/>
      <c r="F3" s="500"/>
      <c r="G3" s="500"/>
      <c r="H3" s="500"/>
      <c r="I3" s="501"/>
    </row>
    <row r="4" spans="8:9" ht="12.75">
      <c r="H4" s="70"/>
      <c r="I4" s="64"/>
    </row>
    <row r="5" spans="2:9" ht="12.75">
      <c r="B5" s="55" t="s">
        <v>40</v>
      </c>
      <c r="C5" s="28"/>
      <c r="D5" s="28"/>
      <c r="E5" s="40"/>
      <c r="F5" s="56" t="s">
        <v>404</v>
      </c>
      <c r="G5" s="56"/>
      <c r="I5" s="64"/>
    </row>
    <row r="6" spans="2:9" ht="12.75">
      <c r="B6" s="28"/>
      <c r="C6" s="28"/>
      <c r="D6" s="28"/>
      <c r="E6" s="102"/>
      <c r="F6" s="56" t="s">
        <v>403</v>
      </c>
      <c r="G6" s="56"/>
      <c r="I6" s="64"/>
    </row>
    <row r="7" spans="8:9" ht="12.75">
      <c r="H7" s="70"/>
      <c r="I7" s="64"/>
    </row>
    <row r="8" spans="2:9" ht="12.75">
      <c r="B8" s="85" t="s">
        <v>0</v>
      </c>
      <c r="F8" s="168" t="str">
        <f>'2.Yhteenveto'!G11</f>
        <v>Akaa</v>
      </c>
      <c r="I8" s="64"/>
    </row>
    <row r="9" spans="2:9" ht="12.75">
      <c r="B9" s="85" t="str">
        <f>'2.Yhteenveto'!B12</f>
        <v>Asukasluku 31.12.2018:</v>
      </c>
      <c r="F9" s="169">
        <f>'2.Yhteenveto'!H12</f>
        <v>16611</v>
      </c>
      <c r="I9" s="64"/>
    </row>
    <row r="10" spans="8:9" ht="12.75">
      <c r="H10" s="70"/>
      <c r="I10" s="64"/>
    </row>
    <row r="11" spans="2:9" ht="12.75">
      <c r="B11" s="1" t="s">
        <v>47</v>
      </c>
      <c r="H11" s="121" t="s">
        <v>1</v>
      </c>
      <c r="I11" s="122" t="s">
        <v>361</v>
      </c>
    </row>
    <row r="12" spans="8:9" ht="12.75">
      <c r="H12" s="70"/>
      <c r="I12" s="64"/>
    </row>
    <row r="13" spans="3:9" ht="12.75">
      <c r="C13" s="5" t="s">
        <v>607</v>
      </c>
      <c r="H13" s="118">
        <v>-0.05</v>
      </c>
      <c r="I13" s="217">
        <f>$F$9*H13</f>
        <v>-830.5500000000001</v>
      </c>
    </row>
    <row r="14" spans="8:9" ht="12.75">
      <c r="H14" s="71"/>
      <c r="I14" s="217"/>
    </row>
    <row r="15" spans="3:9" ht="12.75">
      <c r="C15" s="5" t="s">
        <v>417</v>
      </c>
      <c r="H15" s="118">
        <v>-0.24</v>
      </c>
      <c r="I15" s="217">
        <f>$F$9*H15</f>
        <v>-3986.64</v>
      </c>
    </row>
    <row r="16" spans="8:9" ht="12.75">
      <c r="H16" s="71"/>
      <c r="I16" s="217"/>
    </row>
    <row r="17" spans="3:9" ht="12.75">
      <c r="C17" s="5" t="s">
        <v>419</v>
      </c>
      <c r="H17" s="118">
        <v>-4.1</v>
      </c>
      <c r="I17" s="217">
        <f>$F$9*H17</f>
        <v>-68105.09999999999</v>
      </c>
    </row>
    <row r="18" spans="8:9" ht="12.75">
      <c r="H18" s="70"/>
      <c r="I18" s="217"/>
    </row>
    <row r="19" spans="3:9" ht="12.75">
      <c r="C19" s="5" t="s">
        <v>418</v>
      </c>
      <c r="H19" s="118">
        <v>-0.28</v>
      </c>
      <c r="I19" s="217">
        <f>$F$9*H19</f>
        <v>-4651.080000000001</v>
      </c>
    </row>
    <row r="20" spans="8:9" ht="12.75">
      <c r="H20" s="70"/>
      <c r="I20" s="217"/>
    </row>
    <row r="21" spans="3:9" ht="12.75">
      <c r="C21" s="5" t="s">
        <v>639</v>
      </c>
      <c r="H21" s="118">
        <v>-7.29</v>
      </c>
      <c r="I21" s="217">
        <f>$F$9*H21</f>
        <v>-121094.19</v>
      </c>
    </row>
    <row r="22" spans="8:9" ht="12.75">
      <c r="H22" s="70"/>
      <c r="I22" s="217"/>
    </row>
    <row r="23" spans="3:9" ht="12.75">
      <c r="C23" s="5" t="s">
        <v>640</v>
      </c>
      <c r="H23" s="118">
        <v>-1.82</v>
      </c>
      <c r="I23" s="217">
        <f>$F$9*H23</f>
        <v>-30232.02</v>
      </c>
    </row>
    <row r="24" spans="8:9" ht="12.75">
      <c r="H24" s="71"/>
      <c r="I24" s="217"/>
    </row>
    <row r="25" spans="3:9" ht="12.75">
      <c r="C25" s="5" t="s">
        <v>601</v>
      </c>
      <c r="H25" s="118">
        <v>-0.03</v>
      </c>
      <c r="I25" s="217">
        <f>$F$9*H25</f>
        <v>-498.33</v>
      </c>
    </row>
    <row r="26" spans="8:9" ht="12.75">
      <c r="H26" s="70"/>
      <c r="I26" s="217"/>
    </row>
    <row r="27" spans="3:9" ht="12.75">
      <c r="C27" s="5" t="s">
        <v>553</v>
      </c>
      <c r="H27" s="118"/>
      <c r="I27" s="217">
        <f>$F$9*H27</f>
        <v>0</v>
      </c>
    </row>
    <row r="28" spans="8:9" ht="12.75">
      <c r="H28" s="71"/>
      <c r="I28" s="217"/>
    </row>
    <row r="29" spans="3:9" ht="12.75">
      <c r="C29" s="5" t="s">
        <v>554</v>
      </c>
      <c r="H29" s="71"/>
      <c r="I29" s="217"/>
    </row>
    <row r="30" spans="4:9" ht="12.75">
      <c r="D30" s="5" t="s">
        <v>555</v>
      </c>
      <c r="H30" s="118"/>
      <c r="I30" s="217">
        <f>$F$9*H30</f>
        <v>0</v>
      </c>
    </row>
    <row r="31" spans="8:9" ht="12.75">
      <c r="H31" s="70"/>
      <c r="I31" s="64"/>
    </row>
    <row r="32" spans="3:9" ht="12.75">
      <c r="C32" s="5" t="s">
        <v>632</v>
      </c>
      <c r="H32" s="118">
        <v>-6.31</v>
      </c>
      <c r="I32" s="64">
        <f>$F$9*H32</f>
        <v>-104815.40999999999</v>
      </c>
    </row>
    <row r="33" spans="8:9" ht="12.75">
      <c r="H33" s="71"/>
      <c r="I33" s="64"/>
    </row>
    <row r="34" spans="3:9" ht="12.75">
      <c r="C34" s="5" t="s">
        <v>641</v>
      </c>
      <c r="H34" s="55"/>
      <c r="I34" s="242" t="s">
        <v>663</v>
      </c>
    </row>
    <row r="35" spans="8:9" ht="12.75">
      <c r="H35" s="71"/>
      <c r="I35" s="64"/>
    </row>
    <row r="36" spans="3:9" ht="12.75">
      <c r="C36" s="5" t="s">
        <v>608</v>
      </c>
      <c r="H36" s="118">
        <v>-7.72</v>
      </c>
      <c r="I36" s="64">
        <f>$F$9*H36</f>
        <v>-128236.92</v>
      </c>
    </row>
    <row r="37" spans="8:9" ht="12.75">
      <c r="H37" s="71"/>
      <c r="I37" s="64"/>
    </row>
    <row r="38" spans="3:9" ht="12.75">
      <c r="C38" s="5" t="s">
        <v>642</v>
      </c>
      <c r="H38" s="118">
        <v>-16.7</v>
      </c>
      <c r="I38" s="64">
        <f>$F$9*H38</f>
        <v>-277403.7</v>
      </c>
    </row>
    <row r="39" spans="8:9" ht="12.75">
      <c r="H39" s="71"/>
      <c r="I39" s="64"/>
    </row>
    <row r="40" spans="3:9" ht="12.75">
      <c r="C40" s="5" t="s">
        <v>609</v>
      </c>
      <c r="H40" s="118">
        <v>-17.65</v>
      </c>
      <c r="I40" s="372">
        <f>$F$9*H40</f>
        <v>-293184.14999999997</v>
      </c>
    </row>
    <row r="41" spans="8:9" ht="12.75">
      <c r="H41" s="70"/>
      <c r="I41" s="64"/>
    </row>
    <row r="42" spans="3:9" ht="12.75">
      <c r="C42" s="5" t="s">
        <v>591</v>
      </c>
      <c r="H42" s="118">
        <v>-42.56</v>
      </c>
      <c r="I42" s="372">
        <f>$F$9*H42</f>
        <v>-706964.16</v>
      </c>
    </row>
    <row r="43" spans="8:9" ht="12.75">
      <c r="H43" s="70"/>
      <c r="I43" s="64"/>
    </row>
    <row r="44" spans="3:9" ht="12.75">
      <c r="C44" s="5" t="s">
        <v>593</v>
      </c>
      <c r="H44" s="118">
        <v>-4.12</v>
      </c>
      <c r="I44" s="372">
        <f>$F$9*H44</f>
        <v>-68437.32</v>
      </c>
    </row>
    <row r="45" spans="8:9" ht="12.75">
      <c r="H45" s="70"/>
      <c r="I45" s="64"/>
    </row>
    <row r="46" spans="3:9" ht="12.75">
      <c r="C46" s="5" t="s">
        <v>589</v>
      </c>
      <c r="H46" s="70"/>
      <c r="I46" s="30">
        <f>INDEX(vl_20,MATCH($F$8,kunta,0),1,1)</f>
        <v>-845796.7925418238</v>
      </c>
    </row>
    <row r="47" spans="8:9" ht="12.75">
      <c r="H47" s="70"/>
      <c r="I47" s="64"/>
    </row>
    <row r="48" spans="2:9" ht="12.75">
      <c r="B48" s="89" t="s">
        <v>51</v>
      </c>
      <c r="C48" s="90"/>
      <c r="D48" s="90"/>
      <c r="E48" s="90"/>
      <c r="F48" s="90"/>
      <c r="G48" s="90"/>
      <c r="H48" s="119"/>
      <c r="I48" s="91">
        <f>SUM(I13:I47)</f>
        <v>-2654236.3625418236</v>
      </c>
    </row>
    <row r="49" spans="8:9" ht="12.75">
      <c r="H49" s="70"/>
      <c r="I49" s="64"/>
    </row>
    <row r="50" spans="8:9" ht="12.75">
      <c r="H50" s="70"/>
      <c r="I50" s="64"/>
    </row>
    <row r="51" spans="2:9" ht="12.75">
      <c r="B51" s="1" t="s">
        <v>48</v>
      </c>
      <c r="H51" s="121" t="s">
        <v>1</v>
      </c>
      <c r="I51" s="122" t="s">
        <v>361</v>
      </c>
    </row>
    <row r="52" spans="2:9" ht="12.75">
      <c r="B52" s="1"/>
      <c r="H52" s="70"/>
      <c r="I52" s="64"/>
    </row>
    <row r="53" spans="3:9" ht="12.75">
      <c r="C53" s="5" t="s">
        <v>413</v>
      </c>
      <c r="H53" s="70"/>
      <c r="I53" s="30">
        <f>INDEX(vl_7,MATCH($F$8,kunta,0),1,1)</f>
        <v>140004</v>
      </c>
    </row>
    <row r="54" spans="8:9" ht="12.75">
      <c r="H54" s="70"/>
      <c r="I54" s="64"/>
    </row>
    <row r="55" spans="3:9" ht="12.75">
      <c r="C55" s="5" t="s">
        <v>558</v>
      </c>
      <c r="H55" s="70"/>
      <c r="I55" s="30">
        <f>INDEX(vl_8,MATCH($F$8,kunta,0),1,1)</f>
        <v>-115745.45612722076</v>
      </c>
    </row>
    <row r="56" spans="3:8" ht="12.75">
      <c r="C56" s="5"/>
      <c r="H56" s="70"/>
    </row>
    <row r="57" spans="3:9" ht="12.75">
      <c r="C57" s="5" t="s">
        <v>416</v>
      </c>
      <c r="H57" s="118">
        <v>0.09</v>
      </c>
      <c r="I57" s="64">
        <f>$F$9*H57</f>
        <v>1494.99</v>
      </c>
    </row>
    <row r="58" spans="3:9" ht="12.75">
      <c r="C58" s="5"/>
      <c r="I58" s="64"/>
    </row>
    <row r="59" spans="3:9" ht="12.75">
      <c r="C59" s="5" t="s">
        <v>575</v>
      </c>
      <c r="H59" s="70"/>
      <c r="I59" s="30">
        <f>INDEX(vl_16,MATCH($F$8,kunta,0),1,1)</f>
        <v>149281.52027416526</v>
      </c>
    </row>
    <row r="60" spans="3:8" ht="12.75">
      <c r="C60" s="5"/>
      <c r="H60" s="70"/>
    </row>
    <row r="61" spans="3:9" ht="12.75">
      <c r="C61" s="5" t="s">
        <v>1153</v>
      </c>
      <c r="H61" s="70"/>
      <c r="I61" s="30">
        <f>INDEX(vl_25,MATCH($F$8,kunta,0),1,1)</f>
        <v>717108.0123718568</v>
      </c>
    </row>
    <row r="62" spans="3:8" ht="12.75">
      <c r="C62" s="5"/>
      <c r="H62" s="70"/>
    </row>
    <row r="63" spans="3:9" ht="12.75">
      <c r="C63" s="5" t="s">
        <v>1152</v>
      </c>
      <c r="H63" s="118">
        <v>0.55</v>
      </c>
      <c r="I63" s="64">
        <f>$F$9*H63</f>
        <v>9136.050000000001</v>
      </c>
    </row>
    <row r="64" spans="3:8" ht="12.75">
      <c r="C64" s="5"/>
      <c r="H64" s="70"/>
    </row>
    <row r="65" spans="3:9" ht="12.75">
      <c r="C65" s="5" t="s">
        <v>575</v>
      </c>
      <c r="H65" s="118">
        <v>0.44</v>
      </c>
      <c r="I65" s="64">
        <f>$F$9*H65</f>
        <v>7308.84</v>
      </c>
    </row>
    <row r="66" spans="3:8" ht="12.75">
      <c r="C66" s="5"/>
      <c r="H66" s="70"/>
    </row>
    <row r="67" spans="8:9" ht="12.75">
      <c r="H67" s="70"/>
      <c r="I67" s="64"/>
    </row>
    <row r="68" spans="2:9" ht="12.75">
      <c r="B68" s="89" t="s">
        <v>49</v>
      </c>
      <c r="C68" s="90"/>
      <c r="D68" s="90"/>
      <c r="E68" s="90"/>
      <c r="F68" s="90"/>
      <c r="G68" s="90"/>
      <c r="H68" s="119"/>
      <c r="I68" s="206">
        <f>SUM(I52:I67)</f>
        <v>908587.9565188013</v>
      </c>
    </row>
    <row r="69" spans="8:9" ht="12.75">
      <c r="H69" s="70"/>
      <c r="I69" s="64"/>
    </row>
    <row r="70" spans="1:9" ht="12.75">
      <c r="A70" s="82" t="s">
        <v>50</v>
      </c>
      <c r="B70" s="83"/>
      <c r="C70" s="83"/>
      <c r="D70" s="83"/>
      <c r="E70" s="83"/>
      <c r="F70" s="83"/>
      <c r="G70" s="83"/>
      <c r="H70" s="120"/>
      <c r="I70" s="84">
        <f>I48+I68</f>
        <v>-1745648.4060230223</v>
      </c>
    </row>
    <row r="71" ht="12.75">
      <c r="I71" s="135" t="s">
        <v>405</v>
      </c>
    </row>
    <row r="74" ht="12.75">
      <c r="A74" s="1" t="s">
        <v>1154</v>
      </c>
    </row>
    <row r="75" spans="8:9" ht="12.75">
      <c r="H75" s="70"/>
      <c r="I75" s="64"/>
    </row>
    <row r="76" spans="3:9" ht="12.75">
      <c r="C76" s="5" t="s">
        <v>409</v>
      </c>
      <c r="H76" s="70"/>
      <c r="I76" s="30">
        <f>INDEX(vl_9,MATCH($F$8,kunta,0),1,1)</f>
        <v>1334279</v>
      </c>
    </row>
    <row r="77" spans="8:9" ht="12.75">
      <c r="H77" s="70"/>
      <c r="I77" s="64"/>
    </row>
    <row r="78" spans="3:9" ht="12.75">
      <c r="C78" s="5" t="s">
        <v>410</v>
      </c>
      <c r="H78" s="70"/>
      <c r="I78" s="30">
        <f>INDEX(vl_10,MATCH($F$8,kunta,0),1,1)</f>
        <v>410543</v>
      </c>
    </row>
    <row r="79" spans="8:9" ht="12.75">
      <c r="H79" s="70"/>
      <c r="I79" s="64"/>
    </row>
    <row r="80" spans="3:9" ht="12.75">
      <c r="C80" s="5" t="s">
        <v>411</v>
      </c>
      <c r="H80" s="70"/>
      <c r="I80" s="30">
        <f>INDEX(vl_11,MATCH($F$8,kunta,0),1,1)</f>
        <v>897394.9424826249</v>
      </c>
    </row>
    <row r="81" spans="8:9" ht="12.75">
      <c r="H81" s="70"/>
      <c r="I81" s="64"/>
    </row>
    <row r="82" spans="3:9" ht="12.75">
      <c r="C82" s="5" t="s">
        <v>412</v>
      </c>
      <c r="H82" s="70"/>
      <c r="I82" s="30">
        <f>INDEX(vl_12,MATCH($F$8,kunta,0),1,1)</f>
        <v>27428.68789498369</v>
      </c>
    </row>
    <row r="83" spans="8:9" ht="12.75">
      <c r="H83" s="70"/>
      <c r="I83" s="64"/>
    </row>
    <row r="84" spans="3:9" ht="12.75">
      <c r="C84" s="5" t="s">
        <v>556</v>
      </c>
      <c r="H84" s="70"/>
      <c r="I84" s="30">
        <f>INDEX(vl_13,MATCH($F$8,kunta,0),1,1)</f>
        <v>125948.33979683967</v>
      </c>
    </row>
    <row r="85" spans="8:9" ht="12.75">
      <c r="H85" s="70"/>
      <c r="I85" s="64"/>
    </row>
    <row r="86" spans="3:9" ht="12.75">
      <c r="C86" s="5" t="s">
        <v>557</v>
      </c>
      <c r="H86" s="70"/>
      <c r="I86" s="30">
        <f>INDEX(vl_14,MATCH($F$8,kunta,0),1,1)</f>
        <v>413526.2233831386</v>
      </c>
    </row>
    <row r="87" spans="3:8" ht="12.75">
      <c r="C87" s="5"/>
      <c r="H87" s="70"/>
    </row>
    <row r="88" spans="3:9" ht="12.75">
      <c r="C88" s="5" t="s">
        <v>576</v>
      </c>
      <c r="H88" s="70"/>
      <c r="I88" s="30">
        <f>INDEX(vl_19,MATCH($F$8,kunta,0),1,1)</f>
        <v>833777.015607583</v>
      </c>
    </row>
    <row r="89" spans="3:8" ht="12.75">
      <c r="C89" s="5"/>
      <c r="H89" s="70"/>
    </row>
    <row r="90" spans="3:9" ht="12.75">
      <c r="C90" s="5" t="s">
        <v>602</v>
      </c>
      <c r="H90" s="70"/>
      <c r="I90" s="30">
        <f>INDEX(vl_22,MATCH($F$8,kunta,0),1,1)</f>
        <v>1346679.5531167898</v>
      </c>
    </row>
    <row r="91" spans="3:8" ht="12.75">
      <c r="C91" s="5"/>
      <c r="H91" s="70"/>
    </row>
    <row r="92" spans="3:9" ht="12.75">
      <c r="C92" s="5" t="s">
        <v>603</v>
      </c>
      <c r="H92" s="70"/>
      <c r="I92" s="30">
        <f>INDEX(vl_23,MATCH($F$8,kunta,0),1,1)</f>
        <v>355892.2472376277</v>
      </c>
    </row>
    <row r="93" spans="3:8" ht="12.75">
      <c r="C93" s="5"/>
      <c r="H93" s="70"/>
    </row>
    <row r="94" spans="3:9" ht="12.75">
      <c r="C94" s="5" t="s">
        <v>638</v>
      </c>
      <c r="H94" s="70"/>
      <c r="I94" s="30">
        <f>INDEX(vl_24,MATCH($F$8,kunta,0),1,1)</f>
        <v>697081.5574756723</v>
      </c>
    </row>
    <row r="96" spans="3:9" ht="12.75">
      <c r="C96" s="5" t="s">
        <v>1155</v>
      </c>
      <c r="H96" s="70"/>
      <c r="I96" s="30">
        <f>INDEX(vl_26,MATCH($F$8,kunta,0),1,1)</f>
        <v>924763.7824922772</v>
      </c>
    </row>
    <row r="98" spans="1:9" ht="12.75">
      <c r="A98" s="82" t="s">
        <v>50</v>
      </c>
      <c r="B98" s="83"/>
      <c r="C98" s="83"/>
      <c r="D98" s="83"/>
      <c r="E98" s="83"/>
      <c r="F98" s="83"/>
      <c r="G98" s="83"/>
      <c r="H98" s="120"/>
      <c r="I98" s="84">
        <f>SUM(I75:I97)</f>
        <v>7367314.349487537</v>
      </c>
    </row>
    <row r="107" spans="5:22" ht="12.75">
      <c r="E107" s="171"/>
      <c r="F107" s="171"/>
      <c r="G107" s="171"/>
      <c r="H107" s="171"/>
      <c r="I107" s="171"/>
      <c r="J107" s="171"/>
      <c r="K107" s="171"/>
      <c r="L107" s="171"/>
      <c r="M107" s="171"/>
      <c r="N107" s="171"/>
      <c r="O107" s="171"/>
      <c r="P107" s="171"/>
      <c r="Q107" s="171"/>
      <c r="R107" s="171"/>
      <c r="S107" s="171"/>
      <c r="T107" s="171"/>
      <c r="U107" s="171"/>
      <c r="V107" s="171"/>
    </row>
  </sheetData>
  <sheetProtection/>
  <protectedRanges>
    <protectedRange sqref="H27:H30 H13:H16 H44 H46 H42 H23:H24 H32:H33 H35:H40" name="Alue1"/>
    <protectedRange sqref="I68 I75:I94 I64 I66 I59:I62 I53:I56 I96" name="Alue2"/>
    <protectedRange sqref="H57:H58" name="Alue3"/>
    <protectedRange sqref="H19 H25 H21"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J26"/>
  <sheetViews>
    <sheetView zoomScalePageLayoutView="0" workbookViewId="0" topLeftCell="A2">
      <selection activeCell="C23" sqref="C23"/>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80" t="str">
        <f>'2.Yhteenveto'!A1</f>
        <v>11.9.2019, Kuntaliitto / Sanna Lehtonen</v>
      </c>
      <c r="F1" s="94"/>
      <c r="G1" s="6"/>
      <c r="H1" s="6"/>
      <c r="I1" s="6"/>
      <c r="J1" s="6"/>
    </row>
    <row r="2" spans="6:10" ht="12.75">
      <c r="F2" s="94"/>
      <c r="G2" s="6"/>
      <c r="H2" s="6"/>
      <c r="I2" s="6"/>
      <c r="J2" s="6"/>
    </row>
    <row r="3" spans="1:10" ht="15.75">
      <c r="A3" s="514" t="s">
        <v>665</v>
      </c>
      <c r="B3" s="515"/>
      <c r="C3" s="515"/>
      <c r="D3" s="515"/>
      <c r="E3" s="515"/>
      <c r="F3" s="515"/>
      <c r="G3" s="515"/>
      <c r="H3" s="515"/>
      <c r="I3" s="515"/>
      <c r="J3" s="516"/>
    </row>
    <row r="4" spans="6:10" ht="12.75">
      <c r="F4" s="8"/>
      <c r="G4" s="8"/>
      <c r="H4" s="6"/>
      <c r="I4" s="6"/>
      <c r="J4" s="6"/>
    </row>
    <row r="5" spans="3:10" ht="12.75">
      <c r="C5" s="55" t="s">
        <v>40</v>
      </c>
      <c r="D5" s="28"/>
      <c r="E5" s="40"/>
      <c r="F5" s="56" t="s">
        <v>404</v>
      </c>
      <c r="I5" s="6"/>
      <c r="J5" s="6"/>
    </row>
    <row r="6" spans="6:10" ht="12.75">
      <c r="F6" s="8"/>
      <c r="G6" s="8"/>
      <c r="H6" s="6"/>
      <c r="I6" s="6"/>
      <c r="J6" s="6"/>
    </row>
    <row r="7" spans="2:10" ht="12.75">
      <c r="B7" s="85" t="s">
        <v>0</v>
      </c>
      <c r="E7" s="9"/>
      <c r="F7" s="150" t="str">
        <f>'2.Yhteenveto'!G11</f>
        <v>Akaa</v>
      </c>
      <c r="H7" s="6"/>
      <c r="I7" s="6"/>
      <c r="J7" s="6"/>
    </row>
    <row r="8" spans="2:10" ht="12.75">
      <c r="B8" s="85" t="str">
        <f>'2.Yhteenveto'!B12</f>
        <v>Asukasluku 31.12.2018:</v>
      </c>
      <c r="E8" s="8"/>
      <c r="F8" s="150">
        <f>'2.Yhteenveto'!$H$12</f>
        <v>16611</v>
      </c>
      <c r="H8" s="6"/>
      <c r="I8" s="6"/>
      <c r="J8" s="6"/>
    </row>
    <row r="9" spans="2:10" ht="12.75">
      <c r="B9" s="85"/>
      <c r="E9" s="8"/>
      <c r="G9" s="8"/>
      <c r="H9" s="6"/>
      <c r="I9" s="6"/>
      <c r="J9" s="6"/>
    </row>
    <row r="10" spans="2:10" ht="12.75">
      <c r="B10" s="85"/>
      <c r="E10" s="8"/>
      <c r="G10" s="8"/>
      <c r="H10" s="6"/>
      <c r="I10" s="6"/>
      <c r="J10" s="6"/>
    </row>
    <row r="11" spans="2:10" ht="12.75">
      <c r="B11" s="85"/>
      <c r="E11" s="8"/>
      <c r="G11" s="8"/>
      <c r="H11" s="6"/>
      <c r="I11" s="6"/>
      <c r="J11" s="6"/>
    </row>
    <row r="12" spans="2:10" ht="12.75">
      <c r="B12" s="85"/>
      <c r="E12" s="8"/>
      <c r="G12" s="8"/>
      <c r="H12" s="6"/>
      <c r="I12" s="6"/>
      <c r="J12" s="6"/>
    </row>
    <row r="13" spans="2:10" ht="12.75">
      <c r="B13" s="85"/>
      <c r="E13" s="8"/>
      <c r="G13" s="8"/>
      <c r="H13" s="6"/>
      <c r="I13" s="6"/>
      <c r="J13" s="6"/>
    </row>
    <row r="14" spans="2:10" ht="12.75">
      <c r="B14" s="85"/>
      <c r="E14" s="8"/>
      <c r="G14" s="8"/>
      <c r="H14" s="6"/>
      <c r="I14" s="6"/>
      <c r="J14" s="6"/>
    </row>
    <row r="15" spans="2:10" ht="12.75">
      <c r="B15" s="85"/>
      <c r="E15" s="8"/>
      <c r="G15" s="8"/>
      <c r="H15" s="6"/>
      <c r="I15" s="6"/>
      <c r="J15" s="6"/>
    </row>
    <row r="16" spans="2:10" ht="12.75">
      <c r="B16" s="85"/>
      <c r="E16" s="8"/>
      <c r="G16" s="8"/>
      <c r="H16" s="6"/>
      <c r="I16" s="6"/>
      <c r="J16" s="6"/>
    </row>
    <row r="17" spans="2:10" ht="12.75">
      <c r="B17" s="85"/>
      <c r="E17" s="8"/>
      <c r="G17" s="8"/>
      <c r="H17" s="6"/>
      <c r="I17" s="6"/>
      <c r="J17" s="6"/>
    </row>
    <row r="18" spans="2:10" ht="12.75">
      <c r="B18" s="85"/>
      <c r="E18" s="8"/>
      <c r="G18" s="8"/>
      <c r="H18" s="6"/>
      <c r="I18" s="6"/>
      <c r="J18" s="6"/>
    </row>
    <row r="19" spans="2:10" ht="12.75">
      <c r="B19" s="85"/>
      <c r="E19" s="8"/>
      <c r="G19" s="8"/>
      <c r="H19" s="6"/>
      <c r="I19" s="6"/>
      <c r="J19" s="6"/>
    </row>
    <row r="20" spans="2:10" ht="12.75">
      <c r="B20" s="85"/>
      <c r="E20" s="8"/>
      <c r="G20" s="8"/>
      <c r="H20" s="6"/>
      <c r="I20" s="6"/>
      <c r="J20" s="6"/>
    </row>
    <row r="21" spans="5:9" ht="12.75">
      <c r="E21" s="8"/>
      <c r="G21" s="8"/>
      <c r="H21" s="6"/>
      <c r="I21" s="6"/>
    </row>
    <row r="22" spans="2:10" ht="12.75">
      <c r="B22" s="28" t="s">
        <v>666</v>
      </c>
      <c r="H22" s="6"/>
      <c r="I22" s="6"/>
      <c r="J22" s="30">
        <f>INDEX(jm_1,MATCH($F$7,kunta,0),1,1)</f>
        <v>0</v>
      </c>
    </row>
    <row r="23" spans="3:10" ht="12.75">
      <c r="C23" s="5"/>
      <c r="E23" s="8"/>
      <c r="I23" s="15"/>
      <c r="J23" s="21"/>
    </row>
    <row r="24" spans="7:10" ht="12.75">
      <c r="G24" s="27"/>
      <c r="H24" s="27"/>
      <c r="I24" s="27"/>
      <c r="J24" s="27"/>
    </row>
    <row r="25" spans="1:10" ht="12.75">
      <c r="A25" s="92" t="s">
        <v>559</v>
      </c>
      <c r="B25" s="83"/>
      <c r="C25" s="83"/>
      <c r="D25" s="83"/>
      <c r="E25" s="83"/>
      <c r="F25" s="83"/>
      <c r="G25" s="93"/>
      <c r="H25" s="93"/>
      <c r="I25" s="93"/>
      <c r="J25" s="99">
        <f>J22</f>
        <v>0</v>
      </c>
    </row>
    <row r="26" spans="6:10" ht="12.75">
      <c r="F26" s="12"/>
      <c r="G26" s="27"/>
      <c r="H26" s="27"/>
      <c r="I26" s="27"/>
      <c r="J26" s="135" t="s">
        <v>405</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R421"/>
  <sheetViews>
    <sheetView zoomScalePageLayoutView="0" workbookViewId="0" topLeftCell="A1">
      <selection activeCell="G1" sqref="G1"/>
    </sheetView>
  </sheetViews>
  <sheetFormatPr defaultColWidth="9.140625" defaultRowHeight="12.75"/>
  <cols>
    <col min="1" max="4" width="2.57421875" style="0" customWidth="1"/>
    <col min="5" max="5" width="18.8515625" style="0" customWidth="1"/>
    <col min="6" max="6" width="13.00390625" style="0" customWidth="1"/>
    <col min="7" max="7" width="10.57421875" style="0" customWidth="1"/>
    <col min="8" max="8" width="13.421875" style="0" customWidth="1"/>
    <col min="9" max="9" width="12.28125" style="0" customWidth="1"/>
    <col min="10" max="10" width="7.140625" style="0" customWidth="1"/>
    <col min="11" max="11" width="3.8515625" style="0" customWidth="1"/>
    <col min="15" max="15" width="15.421875" style="0" customWidth="1"/>
    <col min="16" max="16" width="13.00390625" style="0" customWidth="1"/>
  </cols>
  <sheetData>
    <row r="1" ht="12.75">
      <c r="A1" s="80" t="str">
        <f>'2.Yhteenveto'!A1</f>
        <v>11.9.2019, Kuntaliitto / Sanna Lehtonen</v>
      </c>
    </row>
    <row r="3" spans="1:11" ht="25.5" customHeight="1">
      <c r="A3" s="517" t="s">
        <v>667</v>
      </c>
      <c r="B3" s="518"/>
      <c r="C3" s="518"/>
      <c r="D3" s="518"/>
      <c r="E3" s="518"/>
      <c r="F3" s="518"/>
      <c r="G3" s="518"/>
      <c r="H3" s="518"/>
      <c r="I3" s="518"/>
      <c r="J3" s="519"/>
      <c r="K3" s="175"/>
    </row>
    <row r="5" spans="2:16" ht="18" customHeight="1">
      <c r="B5" s="55" t="s">
        <v>40</v>
      </c>
      <c r="C5" s="28"/>
      <c r="D5" s="28"/>
      <c r="E5" s="40"/>
      <c r="F5" s="56" t="s">
        <v>404</v>
      </c>
      <c r="P5" s="74"/>
    </row>
    <row r="6" spans="2:16" ht="18">
      <c r="B6" s="28"/>
      <c r="C6" s="28"/>
      <c r="D6" s="28"/>
      <c r="E6" s="102"/>
      <c r="F6" s="56" t="s">
        <v>403</v>
      </c>
      <c r="P6" s="74"/>
    </row>
    <row r="7" spans="15:16" ht="14.25">
      <c r="O7" s="75"/>
      <c r="P7" s="75"/>
    </row>
    <row r="8" spans="1:16" ht="14.25">
      <c r="A8" s="85" t="s">
        <v>0</v>
      </c>
      <c r="G8" s="168" t="str">
        <f>'2.Yhteenveto'!G11</f>
        <v>Akaa</v>
      </c>
      <c r="O8" s="76"/>
      <c r="P8" s="76"/>
    </row>
    <row r="9" spans="1:7" ht="12.75">
      <c r="A9" s="85" t="str">
        <f>'2.Yhteenveto'!B12</f>
        <v>Asukasluku 31.12.2018:</v>
      </c>
      <c r="G9" s="169">
        <f>'2.Yhteenveto'!H12</f>
        <v>16611</v>
      </c>
    </row>
    <row r="10" ht="12.75">
      <c r="E10" s="1"/>
    </row>
    <row r="11" spans="1:5" ht="12.75">
      <c r="A11" s="66"/>
      <c r="E11" s="1"/>
    </row>
    <row r="12" spans="2:7" ht="12.75">
      <c r="B12" s="1" t="s">
        <v>668</v>
      </c>
      <c r="E12" s="1"/>
      <c r="F12" s="30">
        <f>INDEX(kkk_1,MATCH($G$8,kunta,0),1,1)</f>
        <v>-1002671.6279999999</v>
      </c>
      <c r="G12" s="5" t="s">
        <v>361</v>
      </c>
    </row>
    <row r="13" ht="12.75">
      <c r="E13" s="1"/>
    </row>
    <row r="14" ht="12.75">
      <c r="E14" s="1"/>
    </row>
    <row r="15" spans="2:5" ht="12.75">
      <c r="B15" s="1" t="s">
        <v>55</v>
      </c>
      <c r="E15" s="1"/>
    </row>
    <row r="16" spans="2:5" ht="12.75">
      <c r="B16" s="1" t="s">
        <v>604</v>
      </c>
      <c r="E16" s="1"/>
    </row>
    <row r="17" spans="5:6" ht="12.75">
      <c r="E17" s="126"/>
      <c r="F17" s="212" t="s">
        <v>56</v>
      </c>
    </row>
    <row r="18" spans="5:18" ht="12.75">
      <c r="E18" s="127"/>
      <c r="F18" s="213" t="s">
        <v>57</v>
      </c>
      <c r="R18" s="64"/>
    </row>
    <row r="19" spans="5:18" ht="12.75">
      <c r="E19" s="128"/>
      <c r="F19" s="214" t="s">
        <v>58</v>
      </c>
      <c r="O19" s="64"/>
      <c r="P19" s="64"/>
      <c r="R19" s="64"/>
    </row>
    <row r="20" spans="5:18" ht="12.75">
      <c r="E20" s="209" t="s">
        <v>605</v>
      </c>
      <c r="F20" s="210">
        <v>6600.17</v>
      </c>
      <c r="O20" s="64"/>
      <c r="P20" s="64"/>
      <c r="R20" s="64"/>
    </row>
    <row r="21" spans="15:18" ht="12.75">
      <c r="O21" s="64"/>
      <c r="P21" s="64"/>
      <c r="R21" s="64"/>
    </row>
    <row r="22" spans="15:18" ht="12.75">
      <c r="O22" s="64"/>
      <c r="P22" s="64"/>
      <c r="R22" s="64"/>
    </row>
    <row r="23" spans="2:18" ht="12.75">
      <c r="B23" s="1" t="s">
        <v>372</v>
      </c>
      <c r="O23" s="64"/>
      <c r="P23" s="64"/>
      <c r="R23" s="64"/>
    </row>
    <row r="24" spans="2:18" ht="12.75">
      <c r="B24" s="1"/>
      <c r="O24" s="64"/>
      <c r="P24" s="64"/>
      <c r="R24" s="64"/>
    </row>
    <row r="25" spans="4:15" ht="12.75">
      <c r="D25" s="215" t="s">
        <v>566</v>
      </c>
      <c r="O25" s="64"/>
    </row>
    <row r="26" spans="6:15" ht="12.75">
      <c r="F26" s="3" t="s">
        <v>31</v>
      </c>
      <c r="G26" s="3" t="s">
        <v>35</v>
      </c>
      <c r="H26" s="3" t="s">
        <v>36</v>
      </c>
      <c r="O26" s="64"/>
    </row>
    <row r="27" spans="5:15" ht="12.75">
      <c r="E27" s="49" t="s">
        <v>34</v>
      </c>
      <c r="F27" s="31"/>
      <c r="G27" s="51">
        <f>$F$20*0.61</f>
        <v>4026.1037</v>
      </c>
      <c r="H27" s="44">
        <f>F27*G27</f>
        <v>0</v>
      </c>
      <c r="O27" s="64"/>
    </row>
    <row r="28" spans="5:15" ht="12.75">
      <c r="E28" s="49" t="s">
        <v>33</v>
      </c>
      <c r="F28" s="31"/>
      <c r="G28" s="51">
        <f>$F$20*1</f>
        <v>6600.17</v>
      </c>
      <c r="H28" s="44">
        <f>F28*G28</f>
        <v>0</v>
      </c>
      <c r="O28" s="64"/>
    </row>
    <row r="29" spans="5:15" ht="13.5" thickBot="1">
      <c r="E29" t="s">
        <v>599</v>
      </c>
      <c r="F29" s="107"/>
      <c r="G29" s="211">
        <f>$F$20*1.6</f>
        <v>10560.272</v>
      </c>
      <c r="H29" s="129">
        <f>F29*G29</f>
        <v>0</v>
      </c>
      <c r="O29" s="64"/>
    </row>
    <row r="30" spans="1:15" s="5" customFormat="1" ht="13.5" thickTop="1">
      <c r="A30" s="192"/>
      <c r="D30" s="192" t="s">
        <v>371</v>
      </c>
      <c r="E30" s="192"/>
      <c r="F30" s="192"/>
      <c r="G30" s="216"/>
      <c r="H30" s="216">
        <f>SUM(H27:H29)</f>
        <v>0</v>
      </c>
      <c r="I30" s="125"/>
      <c r="O30" s="217"/>
    </row>
    <row r="31" spans="1:15" ht="12.75">
      <c r="A31" s="53"/>
      <c r="B31" s="123"/>
      <c r="D31" s="53"/>
      <c r="E31" s="123"/>
      <c r="F31" s="123"/>
      <c r="G31" s="124"/>
      <c r="H31" s="124"/>
      <c r="I31" s="125"/>
      <c r="O31" s="64"/>
    </row>
    <row r="32" spans="1:15" ht="12.75">
      <c r="A32" s="53"/>
      <c r="B32" s="123"/>
      <c r="D32" s="53"/>
      <c r="E32" s="123"/>
      <c r="F32" s="123"/>
      <c r="G32" s="124"/>
      <c r="H32" s="124"/>
      <c r="I32" s="125"/>
      <c r="O32" s="64"/>
    </row>
    <row r="33" spans="1:15" ht="12.75">
      <c r="A33" s="53"/>
      <c r="D33" s="215" t="s">
        <v>565</v>
      </c>
      <c r="E33" s="123"/>
      <c r="F33" s="123"/>
      <c r="G33" s="124"/>
      <c r="H33" s="124"/>
      <c r="I33" s="125"/>
      <c r="O33" s="64"/>
    </row>
    <row r="34" spans="6:15" ht="12.75">
      <c r="F34" s="3" t="s">
        <v>31</v>
      </c>
      <c r="G34" s="3" t="s">
        <v>35</v>
      </c>
      <c r="H34" s="3" t="s">
        <v>36</v>
      </c>
      <c r="O34" s="64"/>
    </row>
    <row r="35" spans="5:15" ht="12.75">
      <c r="E35" s="49" t="s">
        <v>34</v>
      </c>
      <c r="F35" s="31"/>
      <c r="G35" s="51">
        <f>$F$20*0.61*0.94</f>
        <v>3784.5374779999997</v>
      </c>
      <c r="H35" s="44">
        <f>F35*G35</f>
        <v>0</v>
      </c>
      <c r="O35" s="64"/>
    </row>
    <row r="36" spans="5:15" ht="12.75">
      <c r="E36" s="49" t="s">
        <v>33</v>
      </c>
      <c r="F36" s="31"/>
      <c r="G36" s="51">
        <f>$F$20*1*0.94</f>
        <v>6204.159799999999</v>
      </c>
      <c r="H36" s="44">
        <f>F36*G36</f>
        <v>0</v>
      </c>
      <c r="O36" s="64"/>
    </row>
    <row r="37" spans="5:15" ht="13.5" thickBot="1">
      <c r="E37" t="s">
        <v>599</v>
      </c>
      <c r="F37" s="107"/>
      <c r="G37" s="211">
        <f>$F$20*1.6*0.94</f>
        <v>9926.65568</v>
      </c>
      <c r="H37" s="129">
        <f>F37*G37</f>
        <v>0</v>
      </c>
      <c r="O37" s="64"/>
    </row>
    <row r="38" spans="1:15" s="5" customFormat="1" ht="13.5" thickTop="1">
      <c r="A38" s="192"/>
      <c r="D38" s="192" t="s">
        <v>371</v>
      </c>
      <c r="E38" s="192"/>
      <c r="F38" s="192"/>
      <c r="G38" s="216"/>
      <c r="H38" s="216">
        <f>SUM(H35:H37)</f>
        <v>0</v>
      </c>
      <c r="I38" s="125"/>
      <c r="O38" s="217"/>
    </row>
    <row r="39" spans="1:15" ht="13.5" thickBot="1">
      <c r="A39" s="53"/>
      <c r="C39" s="218"/>
      <c r="D39" s="109"/>
      <c r="E39" s="218"/>
      <c r="F39" s="218"/>
      <c r="G39" s="219"/>
      <c r="H39" s="219"/>
      <c r="I39" s="125"/>
      <c r="O39" s="64"/>
    </row>
    <row r="40" spans="1:15" ht="13.5" thickTop="1">
      <c r="A40" s="53"/>
      <c r="C40" s="123" t="s">
        <v>371</v>
      </c>
      <c r="D40" s="53"/>
      <c r="E40" s="123"/>
      <c r="F40" s="123"/>
      <c r="G40" s="124"/>
      <c r="H40" s="224">
        <f>H30+H38</f>
        <v>0</v>
      </c>
      <c r="I40" s="314">
        <f>INDEX(kkk_3,MATCH($G$8,kunta,0),1,1)</f>
        <v>1156803.998</v>
      </c>
      <c r="O40" s="64"/>
    </row>
    <row r="41" spans="9:15" ht="12.75">
      <c r="I41" s="314"/>
      <c r="O41" s="64"/>
    </row>
    <row r="42" spans="1:15" ht="12.75">
      <c r="A42" s="53"/>
      <c r="B42" s="123" t="s">
        <v>370</v>
      </c>
      <c r="C42" s="53"/>
      <c r="D42" s="53"/>
      <c r="E42" s="123"/>
      <c r="F42" s="53"/>
      <c r="G42" s="53"/>
      <c r="H42" s="124"/>
      <c r="I42" s="314"/>
      <c r="O42" s="64"/>
    </row>
    <row r="43" spans="6:15" ht="12.75">
      <c r="F43" s="3" t="s">
        <v>31</v>
      </c>
      <c r="G43" s="3" t="s">
        <v>35</v>
      </c>
      <c r="H43" s="3" t="s">
        <v>36</v>
      </c>
      <c r="I43" s="314"/>
      <c r="O43" s="64"/>
    </row>
    <row r="44" spans="5:15" ht="12.75">
      <c r="E44" s="49" t="s">
        <v>34</v>
      </c>
      <c r="F44" s="31"/>
      <c r="G44" s="51">
        <f>$F$20*0.61</f>
        <v>4026.1037</v>
      </c>
      <c r="H44" s="44">
        <f>F44*G44</f>
        <v>0</v>
      </c>
      <c r="I44" s="314"/>
      <c r="O44" s="64"/>
    </row>
    <row r="45" spans="5:15" ht="12.75">
      <c r="E45" s="49" t="s">
        <v>33</v>
      </c>
      <c r="F45" s="31"/>
      <c r="G45" s="51">
        <f>$F$20*1</f>
        <v>6600.17</v>
      </c>
      <c r="H45" s="44">
        <f>F45*G45</f>
        <v>0</v>
      </c>
      <c r="I45" s="314"/>
      <c r="O45" s="64"/>
    </row>
    <row r="46" spans="5:15" ht="13.5" thickBot="1">
      <c r="E46" t="s">
        <v>599</v>
      </c>
      <c r="F46" s="107"/>
      <c r="G46" s="211">
        <f>$F$20*1.6</f>
        <v>10560.272</v>
      </c>
      <c r="H46" s="129">
        <f>F46*G46</f>
        <v>0</v>
      </c>
      <c r="I46" s="314"/>
      <c r="O46" s="64"/>
    </row>
    <row r="47" spans="1:15" ht="13.5" thickTop="1">
      <c r="A47" s="53"/>
      <c r="B47" s="123" t="s">
        <v>567</v>
      </c>
      <c r="C47" s="53"/>
      <c r="D47" s="53"/>
      <c r="E47" s="123"/>
      <c r="F47" s="123"/>
      <c r="G47" s="124"/>
      <c r="H47" s="224">
        <f>SUM(H44:H46)</f>
        <v>0</v>
      </c>
      <c r="I47" s="314">
        <f>INDEX(kkk_2,MATCH($G$8,kunta,0),1,1)</f>
        <v>154132.37000000002</v>
      </c>
      <c r="O47" s="64"/>
    </row>
    <row r="48" spans="1:15" ht="12.75">
      <c r="A48" s="53"/>
      <c r="B48" s="123"/>
      <c r="C48" s="53"/>
      <c r="D48" s="53"/>
      <c r="E48" s="123"/>
      <c r="F48" s="123"/>
      <c r="G48" s="124"/>
      <c r="H48" s="224"/>
      <c r="I48" s="315"/>
      <c r="O48" s="64"/>
    </row>
    <row r="49" spans="1:15" ht="12.75">
      <c r="A49" s="53"/>
      <c r="B49" s="123"/>
      <c r="C49" s="53"/>
      <c r="D49" s="53"/>
      <c r="E49" s="123"/>
      <c r="F49" s="123"/>
      <c r="G49" s="124"/>
      <c r="H49" s="124"/>
      <c r="I49" s="315"/>
      <c r="O49" s="64"/>
    </row>
    <row r="50" spans="1:15" ht="12.75">
      <c r="A50" s="53"/>
      <c r="B50" s="123" t="s">
        <v>564</v>
      </c>
      <c r="C50" s="53"/>
      <c r="D50" s="53"/>
      <c r="E50" s="123"/>
      <c r="F50" s="123"/>
      <c r="G50" s="124"/>
      <c r="H50" s="224">
        <f>IF(H47-H40&lt;&gt;0,H47-H40,F12)</f>
        <v>-1002671.6279999999</v>
      </c>
      <c r="I50" s="316">
        <f>I47-I40</f>
        <v>-1002671.6279999999</v>
      </c>
      <c r="O50" s="64"/>
    </row>
    <row r="51" spans="1:15" ht="12.75">
      <c r="A51" s="53"/>
      <c r="B51" s="123"/>
      <c r="C51" s="53"/>
      <c r="D51" s="53"/>
      <c r="E51" s="123"/>
      <c r="F51" s="123"/>
      <c r="G51" s="124"/>
      <c r="H51" s="135" t="s">
        <v>405</v>
      </c>
      <c r="I51" s="125"/>
      <c r="O51" s="64"/>
    </row>
    <row r="52" ht="12.75">
      <c r="O52" s="64"/>
    </row>
    <row r="53" ht="12.75">
      <c r="O53" s="64"/>
    </row>
    <row r="54" ht="12.75">
      <c r="O54" s="64"/>
    </row>
    <row r="55" ht="12.75">
      <c r="O55" s="64"/>
    </row>
    <row r="56" ht="12.75">
      <c r="O56" s="64"/>
    </row>
    <row r="57" ht="12.75">
      <c r="O57" s="64"/>
    </row>
    <row r="58" ht="12.75">
      <c r="O58" s="64"/>
    </row>
    <row r="59" ht="12.75">
      <c r="O59" s="64"/>
    </row>
    <row r="60" ht="12.75">
      <c r="O60" s="64"/>
    </row>
    <row r="61" ht="12.75">
      <c r="O61" s="64"/>
    </row>
    <row r="62" ht="12.75">
      <c r="O62" s="64"/>
    </row>
    <row r="63" ht="12.75">
      <c r="O63" s="64"/>
    </row>
    <row r="64" ht="12.75">
      <c r="O64" s="64"/>
    </row>
    <row r="65" ht="12.75">
      <c r="O65" s="64"/>
    </row>
    <row r="66" ht="12.75">
      <c r="O66" s="64"/>
    </row>
    <row r="67" ht="12.75">
      <c r="O67" s="64"/>
    </row>
    <row r="68" ht="12.75">
      <c r="O68" s="64"/>
    </row>
    <row r="69" ht="12.75">
      <c r="O69" s="64"/>
    </row>
    <row r="70" ht="12.75">
      <c r="O70" s="64"/>
    </row>
    <row r="71" ht="12.75">
      <c r="O71" s="64"/>
    </row>
    <row r="72" ht="12.75">
      <c r="O72" s="64"/>
    </row>
    <row r="73" ht="12.75">
      <c r="O73" s="64"/>
    </row>
    <row r="74" ht="12.75">
      <c r="O74" s="64"/>
    </row>
    <row r="75" ht="12.75">
      <c r="O75" s="64"/>
    </row>
    <row r="76" ht="12.75">
      <c r="O76" s="64"/>
    </row>
    <row r="77" ht="12.75">
      <c r="O77" s="64"/>
    </row>
    <row r="78" ht="12.75">
      <c r="O78" s="64"/>
    </row>
    <row r="79" ht="12.75">
      <c r="O79" s="64"/>
    </row>
    <row r="80" ht="12.75">
      <c r="O80" s="64"/>
    </row>
    <row r="81" ht="12.75">
      <c r="O81" s="64"/>
    </row>
    <row r="82" ht="12.75">
      <c r="O82" s="64"/>
    </row>
    <row r="83" ht="12.75">
      <c r="O83" s="64"/>
    </row>
    <row r="84" ht="12.75">
      <c r="O84" s="64"/>
    </row>
    <row r="85" ht="12.75">
      <c r="O85" s="64"/>
    </row>
    <row r="86" ht="12.75">
      <c r="O86" s="64"/>
    </row>
    <row r="87" ht="12.75">
      <c r="O87" s="64"/>
    </row>
    <row r="88" ht="12.75">
      <c r="O88" s="64"/>
    </row>
    <row r="89" ht="12.75">
      <c r="O89" s="64"/>
    </row>
    <row r="90" ht="12.75">
      <c r="O90" s="64"/>
    </row>
    <row r="91" ht="12.75">
      <c r="O91" s="64"/>
    </row>
    <row r="92" ht="12.75">
      <c r="O92" s="64"/>
    </row>
    <row r="93" ht="12.75">
      <c r="O93" s="64"/>
    </row>
    <row r="94" ht="12.75">
      <c r="O94" s="64"/>
    </row>
    <row r="95" ht="12.75">
      <c r="O95" s="64"/>
    </row>
    <row r="96" ht="12.75">
      <c r="O96" s="64"/>
    </row>
    <row r="97" ht="12.75">
      <c r="O97" s="64"/>
    </row>
    <row r="98" ht="12.75">
      <c r="O98" s="64"/>
    </row>
    <row r="99" ht="12.75">
      <c r="O99" s="64"/>
    </row>
    <row r="100" ht="12.75">
      <c r="O100" s="64"/>
    </row>
    <row r="101" ht="12.75">
      <c r="O101" s="64"/>
    </row>
    <row r="102" ht="12.75">
      <c r="O102" s="64"/>
    </row>
    <row r="103" ht="12.75">
      <c r="O103" s="64"/>
    </row>
    <row r="104" ht="12.75">
      <c r="O104" s="64"/>
    </row>
    <row r="105" ht="12.75">
      <c r="O105" s="64"/>
    </row>
    <row r="106" ht="12.75">
      <c r="O106" s="64"/>
    </row>
    <row r="107" ht="12.75">
      <c r="O107" s="64"/>
    </row>
    <row r="108" ht="12.75">
      <c r="O108" s="64"/>
    </row>
    <row r="109" ht="12.75">
      <c r="O109" s="64"/>
    </row>
    <row r="110" ht="12.75">
      <c r="O110" s="64"/>
    </row>
    <row r="111" ht="12.75">
      <c r="O111" s="64"/>
    </row>
    <row r="112" ht="12.75">
      <c r="O112" s="64"/>
    </row>
    <row r="113" ht="12.75">
      <c r="O113" s="64"/>
    </row>
    <row r="114" ht="12.75">
      <c r="O114" s="64"/>
    </row>
    <row r="115" ht="12.75">
      <c r="O115" s="64"/>
    </row>
    <row r="116" ht="12.75">
      <c r="O116" s="64"/>
    </row>
    <row r="117" ht="12.75">
      <c r="O117" s="64"/>
    </row>
    <row r="118" ht="12.75">
      <c r="O118" s="64"/>
    </row>
    <row r="119" ht="12.75">
      <c r="O119" s="64"/>
    </row>
    <row r="120" ht="12.75">
      <c r="O120" s="64"/>
    </row>
    <row r="121" ht="12.75">
      <c r="O121" s="64"/>
    </row>
    <row r="122" ht="12.75">
      <c r="O122" s="64"/>
    </row>
    <row r="123" ht="12.75">
      <c r="O123" s="64"/>
    </row>
    <row r="124" ht="12.75">
      <c r="O124" s="64"/>
    </row>
    <row r="125" ht="12.75">
      <c r="O125" s="64"/>
    </row>
    <row r="126" ht="12.75">
      <c r="O126" s="64"/>
    </row>
    <row r="127" ht="12.75">
      <c r="O127" s="64"/>
    </row>
    <row r="128" ht="12.75">
      <c r="O128" s="64"/>
    </row>
    <row r="129" ht="12.75">
      <c r="O129" s="64"/>
    </row>
    <row r="130" ht="12.75">
      <c r="O130" s="64"/>
    </row>
    <row r="131" ht="12.75">
      <c r="O131" s="64"/>
    </row>
    <row r="132" ht="12.75">
      <c r="O132" s="64"/>
    </row>
    <row r="133" ht="12.75">
      <c r="O133" s="64"/>
    </row>
    <row r="134" ht="12.75">
      <c r="O134" s="64"/>
    </row>
    <row r="135" ht="12.75">
      <c r="O135" s="64"/>
    </row>
    <row r="136" ht="12.75">
      <c r="O136" s="64"/>
    </row>
    <row r="137" ht="12.75">
      <c r="O137" s="64"/>
    </row>
    <row r="138" ht="12.75">
      <c r="O138" s="64"/>
    </row>
    <row r="139" ht="12.75">
      <c r="O139" s="64"/>
    </row>
    <row r="140" ht="12.75">
      <c r="O140" s="64"/>
    </row>
    <row r="141" ht="12.75">
      <c r="O141" s="64"/>
    </row>
    <row r="142" ht="12.75">
      <c r="O142" s="64"/>
    </row>
    <row r="143" ht="12.75">
      <c r="O143" s="64"/>
    </row>
    <row r="144" ht="12.75">
      <c r="O144" s="64"/>
    </row>
    <row r="145" ht="12.75">
      <c r="O145" s="64"/>
    </row>
    <row r="146" ht="12.75">
      <c r="O146" s="64"/>
    </row>
    <row r="147" ht="12.75">
      <c r="O147" s="64"/>
    </row>
    <row r="148" ht="12.75">
      <c r="O148" s="64"/>
    </row>
    <row r="149" ht="12.75">
      <c r="O149" s="64"/>
    </row>
    <row r="150" ht="12.75">
      <c r="O150" s="64"/>
    </row>
    <row r="151" ht="12.75">
      <c r="O151" s="64"/>
    </row>
    <row r="152" ht="12.75">
      <c r="O152" s="64"/>
    </row>
    <row r="153" ht="12.75">
      <c r="O153" s="64"/>
    </row>
    <row r="154" ht="12.75">
      <c r="O154" s="64"/>
    </row>
    <row r="155" ht="12.75">
      <c r="O155" s="64"/>
    </row>
    <row r="156" ht="12.75">
      <c r="O156" s="64"/>
    </row>
    <row r="157" ht="12.75">
      <c r="O157" s="64"/>
    </row>
    <row r="158" ht="12.75">
      <c r="O158" s="64"/>
    </row>
    <row r="159" ht="12.75">
      <c r="O159" s="64"/>
    </row>
    <row r="160" ht="12.75">
      <c r="O160" s="64"/>
    </row>
    <row r="161" ht="12.75">
      <c r="O161" s="64"/>
    </row>
    <row r="162" ht="12.75">
      <c r="O162" s="64"/>
    </row>
    <row r="163" ht="12.75">
      <c r="O163" s="64"/>
    </row>
    <row r="164" ht="12.75">
      <c r="O164" s="64"/>
    </row>
    <row r="165" ht="12.75">
      <c r="O165" s="64"/>
    </row>
    <row r="166" ht="12.75">
      <c r="O166" s="64"/>
    </row>
    <row r="167" ht="12.75">
      <c r="O167" s="64"/>
    </row>
    <row r="168" ht="12.75">
      <c r="O168" s="64"/>
    </row>
    <row r="169" ht="12.75">
      <c r="O169" s="64"/>
    </row>
    <row r="170" ht="12.75">
      <c r="O170" s="64"/>
    </row>
    <row r="171" ht="12.75">
      <c r="O171" s="64"/>
    </row>
    <row r="172" ht="12.75">
      <c r="O172" s="64"/>
    </row>
    <row r="173" ht="12.75">
      <c r="O173" s="64"/>
    </row>
    <row r="174" ht="12.75">
      <c r="O174" s="64"/>
    </row>
    <row r="175" ht="12.75">
      <c r="O175" s="64"/>
    </row>
    <row r="176" ht="12.75">
      <c r="O176" s="64"/>
    </row>
    <row r="177" ht="12.75">
      <c r="O177" s="64"/>
    </row>
    <row r="178" ht="12.75">
      <c r="O178" s="64"/>
    </row>
    <row r="179" ht="12.75">
      <c r="O179" s="64"/>
    </row>
    <row r="180" ht="12.75">
      <c r="O180" s="64"/>
    </row>
    <row r="181" ht="12.75">
      <c r="O181" s="64"/>
    </row>
    <row r="182" ht="12.75">
      <c r="O182" s="64"/>
    </row>
    <row r="183" ht="12.75">
      <c r="O183" s="64"/>
    </row>
    <row r="184" ht="12.75">
      <c r="O184" s="64"/>
    </row>
    <row r="185" ht="12.75">
      <c r="O185" s="64"/>
    </row>
    <row r="186" ht="12.75">
      <c r="O186" s="64"/>
    </row>
    <row r="187" ht="12.75">
      <c r="O187" s="64"/>
    </row>
    <row r="188" ht="12.75">
      <c r="O188" s="64"/>
    </row>
    <row r="189" ht="12.75">
      <c r="O189" s="64"/>
    </row>
    <row r="190" ht="12.75">
      <c r="O190" s="64"/>
    </row>
    <row r="191" ht="12.75">
      <c r="O191" s="64"/>
    </row>
    <row r="192" ht="12.75">
      <c r="O192" s="64"/>
    </row>
    <row r="193" ht="12.75">
      <c r="O193" s="64"/>
    </row>
    <row r="194" ht="12.75">
      <c r="O194" s="64"/>
    </row>
    <row r="195" ht="12.75">
      <c r="O195" s="64"/>
    </row>
    <row r="326" ht="12.75">
      <c r="R326">
        <v>629984.6681482845</v>
      </c>
    </row>
    <row r="327" ht="12.75">
      <c r="R327">
        <v>533704.5170515766</v>
      </c>
    </row>
    <row r="328" ht="12.75">
      <c r="R328">
        <v>2948920.1810058244</v>
      </c>
    </row>
    <row r="329" ht="12.75">
      <c r="R329">
        <v>2609406.3443768644</v>
      </c>
    </row>
    <row r="330" ht="12.75">
      <c r="R330">
        <v>4229372.364863616</v>
      </c>
    </row>
    <row r="331" ht="12.75">
      <c r="R331">
        <v>4148131.5539559717</v>
      </c>
    </row>
    <row r="332" ht="12.75">
      <c r="R332">
        <v>5399482.551816998</v>
      </c>
    </row>
    <row r="333" ht="12.75">
      <c r="R333">
        <v>2639720.079790164</v>
      </c>
    </row>
    <row r="334" ht="12.75">
      <c r="R334">
        <v>9700.395332256001</v>
      </c>
    </row>
    <row r="335" ht="12.75">
      <c r="R335">
        <v>5466172.769726257</v>
      </c>
    </row>
    <row r="336" ht="12.75">
      <c r="R336">
        <v>264396.40027480264</v>
      </c>
    </row>
    <row r="337" ht="12.75">
      <c r="R337">
        <v>2473600.809725279</v>
      </c>
    </row>
    <row r="338" ht="12.75">
      <c r="R338">
        <v>1090445.6902872275</v>
      </c>
    </row>
    <row r="339" ht="12.75">
      <c r="R339">
        <v>385590.7144571758</v>
      </c>
    </row>
    <row r="340" ht="12.75">
      <c r="R340">
        <v>4560398.355576853</v>
      </c>
    </row>
    <row r="341" ht="12.75">
      <c r="R341">
        <v>2579092.6089635636</v>
      </c>
    </row>
    <row r="342" ht="12.75">
      <c r="R342">
        <v>2007981.8337769923</v>
      </c>
    </row>
    <row r="343" ht="12.75">
      <c r="R343">
        <v>3484867.023112968</v>
      </c>
    </row>
    <row r="344" ht="12.75">
      <c r="R344">
        <v>3970393.690028048</v>
      </c>
    </row>
    <row r="345" ht="12.75">
      <c r="R345">
        <v>200070.65372778007</v>
      </c>
    </row>
    <row r="346" ht="12.75">
      <c r="R346">
        <v>4848031.050914739</v>
      </c>
    </row>
    <row r="347" ht="12.75">
      <c r="R347">
        <v>2798564.053355856</v>
      </c>
    </row>
    <row r="348" ht="12.75">
      <c r="R348">
        <v>1577405.5359664788</v>
      </c>
    </row>
    <row r="349" ht="12.75">
      <c r="R349">
        <v>3627341.579555479</v>
      </c>
    </row>
    <row r="350" ht="12.75">
      <c r="R350">
        <v>4396704.184345033</v>
      </c>
    </row>
    <row r="351" ht="12.75">
      <c r="R351">
        <v>4597987.387489344</v>
      </c>
    </row>
    <row r="352" ht="12.75">
      <c r="R352">
        <v>9700.395332256001</v>
      </c>
    </row>
    <row r="353" ht="12.75">
      <c r="R353">
        <v>1666042.8983149678</v>
      </c>
    </row>
    <row r="354" ht="12.75">
      <c r="R354">
        <v>1551941.9982193066</v>
      </c>
    </row>
    <row r="355" ht="12.75">
      <c r="R355">
        <v>1603347.93907217</v>
      </c>
    </row>
    <row r="356" ht="12.75">
      <c r="R356">
        <v>1740729.8152081931</v>
      </c>
    </row>
    <row r="357" ht="12.75">
      <c r="R357">
        <v>1106330.0876437968</v>
      </c>
    </row>
    <row r="358" ht="12.75">
      <c r="R358">
        <v>1407875.8399696494</v>
      </c>
    </row>
    <row r="359" ht="12.75">
      <c r="R359">
        <v>1461061.4194502328</v>
      </c>
    </row>
    <row r="360" ht="12.75">
      <c r="R360">
        <v>1323861.4529696372</v>
      </c>
    </row>
    <row r="361" ht="12.75">
      <c r="R361">
        <v>830591.3294776846</v>
      </c>
    </row>
    <row r="362" ht="12.75">
      <c r="R362">
        <v>1558126.0002436198</v>
      </c>
    </row>
    <row r="363" ht="12.75">
      <c r="R363">
        <v>1116082.076058425</v>
      </c>
    </row>
    <row r="364" ht="12.75">
      <c r="R364">
        <v>608786.2706213386</v>
      </c>
    </row>
    <row r="365" ht="12.75">
      <c r="R365">
        <v>1068256.035964692</v>
      </c>
    </row>
    <row r="366" ht="12.75">
      <c r="R366">
        <v>1641791.9099843276</v>
      </c>
    </row>
    <row r="367" ht="12.75">
      <c r="R367">
        <v>1048273.1398771544</v>
      </c>
    </row>
    <row r="368" ht="12.75">
      <c r="R368">
        <v>414691.900453944</v>
      </c>
    </row>
    <row r="369" ht="12.75">
      <c r="R369">
        <v>1162410.4981584016</v>
      </c>
    </row>
    <row r="370" ht="12.75">
      <c r="R370">
        <v>482594.667779736</v>
      </c>
    </row>
    <row r="371" ht="12.75">
      <c r="R371">
        <v>1659357.4923391074</v>
      </c>
    </row>
    <row r="372" ht="12.75">
      <c r="R372">
        <v>59414.921410068004</v>
      </c>
    </row>
    <row r="373" ht="12.75">
      <c r="R373">
        <v>1230313.2654841938</v>
      </c>
    </row>
    <row r="374" ht="12.75">
      <c r="R374">
        <v>2869388.580070837</v>
      </c>
    </row>
    <row r="375" ht="12.75">
      <c r="R375">
        <v>575233.4432027808</v>
      </c>
    </row>
    <row r="376" ht="12.75">
      <c r="R376">
        <v>4674341.624248364</v>
      </c>
    </row>
    <row r="377" ht="12.75">
      <c r="R377">
        <v>1411407.520843248</v>
      </c>
    </row>
    <row r="378" ht="12.75">
      <c r="R378">
        <v>572868.9718405433</v>
      </c>
    </row>
    <row r="379" ht="12.75">
      <c r="R379">
        <v>623007.8902141416</v>
      </c>
    </row>
    <row r="380" ht="12.75">
      <c r="R380">
        <v>485565.41385023936</v>
      </c>
    </row>
    <row r="381" ht="12.75">
      <c r="R381">
        <v>1189510.977617892</v>
      </c>
    </row>
    <row r="382" ht="12.75">
      <c r="R382">
        <v>1247592.0946697746</v>
      </c>
    </row>
    <row r="383" ht="12.75">
      <c r="R383">
        <v>491082.51369545993</v>
      </c>
    </row>
    <row r="384" ht="12.75">
      <c r="R384">
        <v>369398.6296558954</v>
      </c>
    </row>
    <row r="385" ht="12.75">
      <c r="R385">
        <v>574869.6783778212</v>
      </c>
    </row>
    <row r="386" ht="12.75">
      <c r="R386">
        <v>412266.80162088</v>
      </c>
    </row>
    <row r="387" ht="12.75">
      <c r="R387">
        <v>77603.16265804801</v>
      </c>
    </row>
    <row r="388" ht="12.75">
      <c r="R388">
        <v>727105.2576234139</v>
      </c>
    </row>
    <row r="389" ht="12.75">
      <c r="R389">
        <v>206012.83648000003</v>
      </c>
    </row>
    <row r="390" ht="12.75">
      <c r="R390">
        <v>142804.35256000003</v>
      </c>
    </row>
    <row r="391" ht="12.75">
      <c r="R391">
        <v>168555.95712000006</v>
      </c>
    </row>
    <row r="392" ht="12.75">
      <c r="R392">
        <v>309019.25471999997</v>
      </c>
    </row>
    <row r="393" ht="12.75">
      <c r="R393">
        <v>112370.63808</v>
      </c>
    </row>
    <row r="394" ht="12.75">
      <c r="R394">
        <v>4410468.701402</v>
      </c>
    </row>
    <row r="395" ht="12.75">
      <c r="R395">
        <v>3928791.510475</v>
      </c>
    </row>
    <row r="396" ht="12.75">
      <c r="R396">
        <v>242474.76748200005</v>
      </c>
    </row>
    <row r="397" ht="12.75">
      <c r="R397">
        <v>36286.35188</v>
      </c>
    </row>
    <row r="398" ht="12.75">
      <c r="R398">
        <v>515032.09119999985</v>
      </c>
    </row>
    <row r="399" ht="12.75">
      <c r="R399">
        <v>255174.99064000006</v>
      </c>
    </row>
    <row r="400" ht="12.75">
      <c r="R400">
        <v>635713.4743880002</v>
      </c>
    </row>
    <row r="401" ht="12.75">
      <c r="R401">
        <v>959071.6907380007</v>
      </c>
    </row>
    <row r="402" ht="12.75">
      <c r="R402">
        <v>324236.11196</v>
      </c>
    </row>
    <row r="403" ht="12.75">
      <c r="R403">
        <v>1244621.8694839994</v>
      </c>
    </row>
    <row r="404" ht="12.75">
      <c r="R404">
        <v>2866466.8206816483</v>
      </c>
    </row>
    <row r="405" ht="12.75">
      <c r="R405">
        <v>5292171.928453915</v>
      </c>
    </row>
    <row r="406" ht="12.75">
      <c r="R406">
        <v>4225916.599026499</v>
      </c>
    </row>
    <row r="407" ht="12.75">
      <c r="R407">
        <v>2639783.5897832643</v>
      </c>
    </row>
    <row r="408" ht="12.75">
      <c r="R408">
        <v>5473508.693696276</v>
      </c>
    </row>
    <row r="409" ht="12.75">
      <c r="R409">
        <v>2488317.019898427</v>
      </c>
    </row>
    <row r="410" ht="12.75">
      <c r="R410">
        <v>5564510.527407001</v>
      </c>
    </row>
    <row r="411" ht="12.75">
      <c r="R411">
        <v>4865960.808542917</v>
      </c>
    </row>
    <row r="412" ht="12.75">
      <c r="R412">
        <v>4791995.294134463</v>
      </c>
    </row>
    <row r="413" ht="12.75">
      <c r="R413">
        <v>2512402.3910543043</v>
      </c>
    </row>
    <row r="414" ht="12.75">
      <c r="R414">
        <v>3317369.4268152765</v>
      </c>
    </row>
    <row r="415" ht="12.75">
      <c r="R415">
        <v>222458.74757400004</v>
      </c>
    </row>
    <row r="416" ht="12.75">
      <c r="R416">
        <v>18728.439680000003</v>
      </c>
    </row>
    <row r="417" ht="12.75">
      <c r="R417">
        <v>268167.845668</v>
      </c>
    </row>
    <row r="418" ht="12.75">
      <c r="R418">
        <v>103006.41824000001</v>
      </c>
    </row>
    <row r="419" ht="12.75">
      <c r="R419">
        <v>145835.72510500005</v>
      </c>
    </row>
    <row r="420" ht="12.75">
      <c r="R420">
        <v>195478.08916000003</v>
      </c>
    </row>
    <row r="421" ht="12.75">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Lehtonen Sanna</cp:lastModifiedBy>
  <cp:lastPrinted>2018-09-18T19:23:17Z</cp:lastPrinted>
  <dcterms:created xsi:type="dcterms:W3CDTF">2009-11-13T07:40:31Z</dcterms:created>
  <dcterms:modified xsi:type="dcterms:W3CDTF">2019-09-12T08:43:55Z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