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75" windowWidth="11340" windowHeight="6480" activeTab="0"/>
  </bookViews>
  <sheets>
    <sheet name="aspalvelut" sheetId="1" r:id="rId1"/>
    <sheet name="aspalv yks" sheetId="2" r:id="rId2"/>
    <sheet name="muiden palv. ostot, erittely" sheetId="3" r:id="rId3"/>
    <sheet name="materiaalin ostot, erittely" sheetId="4" r:id="rId4"/>
  </sheets>
  <definedNames>
    <definedName name="_xlnm.Print_Area" localSheetId="1">'aspalv yks'!$A$1:$AN$33</definedName>
    <definedName name="_xlnm.Print_Area" localSheetId="0">'aspalvelut'!$A$1:$AN$21</definedName>
    <definedName name="_xlnm.Print_Area" localSheetId="3">'materiaalin ostot, erittely'!$A$1:$AM$31</definedName>
    <definedName name="_xlnm.Print_Area" localSheetId="2">'muiden palv. ostot, erittely'!$A$1:$AM$34</definedName>
  </definedNames>
  <calcPr fullCalcOnLoad="1"/>
</workbook>
</file>

<file path=xl/sharedStrings.xml><?xml version="1.0" encoding="utf-8"?>
<sst xmlns="http://schemas.openxmlformats.org/spreadsheetml/2006/main" count="176" uniqueCount="113">
  <si>
    <t>Lähde: Tilastokeskus</t>
  </si>
  <si>
    <t>Muut palvelut</t>
  </si>
  <si>
    <t>Yhteensä</t>
  </si>
  <si>
    <t>Siitä:</t>
  </si>
  <si>
    <t>keskim.</t>
  </si>
  <si>
    <t>Painatukset, ilmoitukset</t>
  </si>
  <si>
    <t>Vakuutukset</t>
  </si>
  <si>
    <t>Puhtaanapito- ja pesulapalvelut</t>
  </si>
  <si>
    <t>Rakennusten ja alueiden rakentamis-</t>
  </si>
  <si>
    <t>ja kunnossapitopalvelut</t>
  </si>
  <si>
    <t>Koneiden ja laitteiden rakentamis-</t>
  </si>
  <si>
    <t>Majoitus- ja ravitsemispalvelut</t>
  </si>
  <si>
    <t>Matkustus- ja kuljetuspalvelut</t>
  </si>
  <si>
    <t>Sosiaali- ja terveyspalvelut</t>
  </si>
  <si>
    <t>Koulutus- ja kulttuuripalvelut</t>
  </si>
  <si>
    <t>Osuus verostuskustannuksiin</t>
  </si>
  <si>
    <t>Muut yhteistoimintaosuudet</t>
  </si>
  <si>
    <t>Muiden palvelujen ostot yht.</t>
  </si>
  <si>
    <t>Toimisto- ja koulutarvikkeet</t>
  </si>
  <si>
    <t>Kirjallisuus</t>
  </si>
  <si>
    <t>Elintarvikkeet</t>
  </si>
  <si>
    <t>Vaatteisto</t>
  </si>
  <si>
    <t>Lääkkeet ja hoitotarvikkeet</t>
  </si>
  <si>
    <t>Puhdistusaineet ja -tarvikkeet</t>
  </si>
  <si>
    <t>Poltto- ja voiteluaineet</t>
  </si>
  <si>
    <t>Kalusto</t>
  </si>
  <si>
    <t>Rakennusmateriaali</t>
  </si>
  <si>
    <t>Muu materiaali</t>
  </si>
  <si>
    <t>97-98</t>
  </si>
  <si>
    <t>98-99</t>
  </si>
  <si>
    <t>99-00</t>
  </si>
  <si>
    <t>00-01</t>
  </si>
  <si>
    <t xml:space="preserve"> 01-02</t>
  </si>
  <si>
    <t>Milj. euroa:</t>
  </si>
  <si>
    <t xml:space="preserve"> 02-03</t>
  </si>
  <si>
    <t>Muutos, %:</t>
  </si>
  <si>
    <t>Lähde: Tilastokeskus:</t>
  </si>
  <si>
    <t>01-02</t>
  </si>
  <si>
    <t>02-03</t>
  </si>
  <si>
    <t xml:space="preserve"> Muutos-%:</t>
  </si>
  <si>
    <t>03-04</t>
  </si>
  <si>
    <t xml:space="preserve"> 03-04</t>
  </si>
  <si>
    <t>04-05</t>
  </si>
  <si>
    <t>Sosiaali- ja terveystoimi yht.</t>
  </si>
  <si>
    <t xml:space="preserve"> 04-05</t>
  </si>
  <si>
    <t>Aineiden, tarvikk. ja tavar. ostot yht.</t>
  </si>
  <si>
    <t>05-06</t>
  </si>
  <si>
    <t>1) mm. lastenkodit, nuorisokodit, koulukodit, perhekodit, muu lasten laitoshoito sekä sijaisperhehoito, ensi- ja turvakodit.</t>
  </si>
  <si>
    <t xml:space="preserve"> 05-06</t>
  </si>
  <si>
    <t>vuod.</t>
  </si>
  <si>
    <t>Liikelaitokset yht.</t>
  </si>
  <si>
    <t>06-07</t>
  </si>
  <si>
    <t>Asiakaspalvelujen</t>
  </si>
  <si>
    <t>ostot yhteensä</t>
  </si>
  <si>
    <t xml:space="preserve">  - Ostot valtiolta</t>
  </si>
  <si>
    <t xml:space="preserve">  - Ostot kunnilta</t>
  </si>
  <si>
    <t xml:space="preserve">  - Ostot kuntayhtymiltä</t>
  </si>
  <si>
    <t xml:space="preserve">  - Ostot muilta</t>
  </si>
  <si>
    <t xml:space="preserve"> -Lasten päivähoito</t>
  </si>
  <si>
    <t xml:space="preserve"> -Lastensuojelun laitos- ja perheh.</t>
  </si>
  <si>
    <t xml:space="preserve"> -Päihdehuolto</t>
  </si>
  <si>
    <t xml:space="preserve"> -Perusterveydenhuolto</t>
  </si>
  <si>
    <t xml:space="preserve"> -Erikoissairaanhoito</t>
  </si>
  <si>
    <t>Liikelaitosten palvelujen ostot yht.</t>
  </si>
  <si>
    <t xml:space="preserve"> 06-07</t>
  </si>
  <si>
    <t>07-08</t>
  </si>
  <si>
    <t xml:space="preserve"> 07-08</t>
  </si>
  <si>
    <t>08-09</t>
  </si>
  <si>
    <t>07-09</t>
  </si>
  <si>
    <r>
      <t xml:space="preserve">  sekä muut lasten ja perh. palv. </t>
    </r>
    <r>
      <rPr>
        <vertAlign val="superscript"/>
        <sz val="10"/>
        <color indexed="8"/>
        <rFont val="Arial Narrow"/>
        <family val="2"/>
      </rPr>
      <t>1)</t>
    </r>
  </si>
  <si>
    <t xml:space="preserve"> 08-09</t>
  </si>
  <si>
    <t>09-10</t>
  </si>
  <si>
    <t xml:space="preserve"> -Muu sosiaali- ja terveystoimi</t>
  </si>
  <si>
    <t xml:space="preserve"> 09-10</t>
  </si>
  <si>
    <t>10-11</t>
  </si>
  <si>
    <t xml:space="preserve"> 10-11</t>
  </si>
  <si>
    <t>11-12</t>
  </si>
  <si>
    <t xml:space="preserve"> 11-12</t>
  </si>
  <si>
    <t>12-13</t>
  </si>
  <si>
    <t>Opetus- ja kulttuuritoimi yht.</t>
  </si>
  <si>
    <t xml:space="preserve"> -Muut opetus- ja kulttuuritoimi</t>
  </si>
  <si>
    <t>Tehtäväluokka</t>
  </si>
  <si>
    <t xml:space="preserve"> 12-13</t>
  </si>
  <si>
    <t>13-14</t>
  </si>
  <si>
    <t xml:space="preserve"> 13-14</t>
  </si>
  <si>
    <t>14-15</t>
  </si>
  <si>
    <t>Kuntien ja kuntayhtymien asiakaspalvelujen ostot vuosina 1997-2015</t>
  </si>
  <si>
    <t>Kuntien ja kuntayhtymien asiakaspalvelujen ostot yksityisiltä (ml. kolmas sektori) vuosina 1997-2015</t>
  </si>
  <si>
    <t xml:space="preserve"> -Vanhusten/Ikääntyneiden laitospalvelut</t>
  </si>
  <si>
    <r>
      <t xml:space="preserve"> -Kotipalvelu /Kotihoito </t>
    </r>
    <r>
      <rPr>
        <vertAlign val="superscript"/>
        <sz val="10"/>
        <color indexed="8"/>
        <rFont val="Arial Narrow"/>
        <family val="2"/>
      </rPr>
      <t>2)</t>
    </r>
  </si>
  <si>
    <t>2) Vuonna 2015 kotihoito sisältää myös kotisairaanhoidon</t>
  </si>
  <si>
    <r>
      <t xml:space="preserve"> -Muut vanh. ja vamm. palvelut </t>
    </r>
    <r>
      <rPr>
        <vertAlign val="superscript"/>
        <sz val="10"/>
        <color indexed="8"/>
        <rFont val="Arial Narrow"/>
        <family val="2"/>
      </rPr>
      <t>3)</t>
    </r>
  </si>
  <si>
    <t>3) mm. vanhusten ja vammaisten päivähoito, päivä-/palvelukeskukset, palvelutalot, ryhmäkodit sekä muut vanhusten ja vammaisten asumispalvelut</t>
  </si>
  <si>
    <t>97-15</t>
  </si>
  <si>
    <t xml:space="preserve"> 14-15</t>
  </si>
  <si>
    <t>Tilastouudistuksen sekä liikelaitosten yhtiöittämisten takia vuosi 2015 ei ole vertailukelpoinen aikaisempien vuosien kanssa</t>
  </si>
  <si>
    <t xml:space="preserve">   Vuonna 2015 tehtäväluokat Ikääntyneiden ympärivuorokautisen hoivan asumispalvelut, Muut ikääntyneiden palvelut, Vammaisten ympärivuorokautisen hoivan asumispalvelut, Muut vammaisten palvelut.</t>
  </si>
  <si>
    <t xml:space="preserve">     siitä: ICT-palvelut</t>
  </si>
  <si>
    <t>Toimisto-, pankki-, posti- tele- ja asiantuntijapalv.</t>
  </si>
  <si>
    <t xml:space="preserve">     siitä: Työvoiman vuokraus</t>
  </si>
  <si>
    <t>Kunnat ja ky:t (vuosina 1997-2014 pl. liikelaitokset):</t>
  </si>
  <si>
    <t>Kunnat ja ky:t yht. (pl. liikelaitokset 1997-2014)</t>
  </si>
  <si>
    <t>Kuntien ja kuntayhtymien muiden palvelujen ostot 1997-2015 (ml. sisäiset erät)</t>
  </si>
  <si>
    <t>Tilastouudistuksen takia vuosi 2015 ei ole vertailukelpoinen aikaisempien vuosien kanssa:</t>
  </si>
  <si>
    <t>Vuodet 1997-2014 eivät sisällä kuntien ja kuntayhtymien liikelaitosten asiakaspalvelujen ostoja</t>
  </si>
  <si>
    <t>Vuosina 1997-2014 muiden palvelujen ostojen erittely ei sisällä kuntien ja kuntayhtymien liikelaitoksia</t>
  </si>
  <si>
    <t>Kuntien ja kuntayhtymien aineiden, tarvikkeiden ja tavaroiden ostot 1997-2015 (ml. sisäiset erät)</t>
  </si>
  <si>
    <t xml:space="preserve">   siitä:  Lämmitys</t>
  </si>
  <si>
    <t xml:space="preserve">            Sähkö ja kaasu</t>
  </si>
  <si>
    <t xml:space="preserve">            Vesi</t>
  </si>
  <si>
    <t>Lämmitys, sähkö, kaasu ja vesi</t>
  </si>
  <si>
    <t>Kunnat ja kuntayhtymät (pl.  liikelaitokset 1997-2014):</t>
  </si>
  <si>
    <t>Vuosina 1997-2014 aineiden, tarvikkeiden ja tavaroiden  ostojen erittely ei sisällä kuntien ja kuntayhtymien liikelaitoksia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</si>
</sst>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2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i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10"/>
      <name val="Arial"/>
      <family val="2"/>
    </font>
    <font>
      <i/>
      <sz val="9"/>
      <color indexed="8"/>
      <name val="Arial Narrow"/>
      <family val="2"/>
    </font>
    <font>
      <i/>
      <sz val="10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i/>
      <sz val="10"/>
      <name val="Arial Narrow"/>
      <family val="2"/>
    </font>
    <font>
      <i/>
      <sz val="10"/>
      <color indexed="12"/>
      <name val="Arial"/>
      <family val="2"/>
    </font>
    <font>
      <i/>
      <sz val="10"/>
      <color indexed="12"/>
      <name val="Arial Narrow"/>
      <family val="2"/>
    </font>
    <font>
      <b/>
      <i/>
      <sz val="10"/>
      <color indexed="12"/>
      <name val="Arial Narrow"/>
      <family val="2"/>
    </font>
    <font>
      <sz val="10"/>
      <color indexed="12"/>
      <name val="Arial Narrow"/>
      <family val="2"/>
    </font>
    <font>
      <b/>
      <i/>
      <sz val="10"/>
      <color indexed="12"/>
      <name val="Arial"/>
      <family val="2"/>
    </font>
    <font>
      <i/>
      <sz val="9"/>
      <color indexed="12"/>
      <name val="Arial Narrow"/>
      <family val="2"/>
    </font>
    <font>
      <i/>
      <sz val="8"/>
      <color indexed="12"/>
      <name val="Arial"/>
      <family val="2"/>
    </font>
    <font>
      <b/>
      <sz val="20"/>
      <color indexed="8"/>
      <name val="Arial"/>
      <family val="2"/>
    </font>
    <font>
      <b/>
      <sz val="9"/>
      <color indexed="8"/>
      <name val="Arial Narrow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Arial Narrow"/>
      <family val="2"/>
    </font>
    <font>
      <b/>
      <i/>
      <sz val="10"/>
      <color indexed="10"/>
      <name val="Arial Narrow"/>
      <family val="2"/>
    </font>
    <font>
      <sz val="9"/>
      <color indexed="10"/>
      <name val="Arial Narrow"/>
      <family val="2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i/>
      <sz val="9"/>
      <color indexed="10"/>
      <name val="Arial Narrow"/>
      <family val="2"/>
    </font>
    <font>
      <sz val="11"/>
      <name val="Arial"/>
      <family val="2"/>
    </font>
    <font>
      <i/>
      <sz val="8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0"/>
      <color rgb="FF0000FF"/>
      <name val="Arial"/>
      <family val="2"/>
    </font>
    <font>
      <i/>
      <sz val="10"/>
      <color rgb="FF0000FF"/>
      <name val="Arial Narrow"/>
      <family val="2"/>
    </font>
    <font>
      <b/>
      <i/>
      <sz val="10"/>
      <color rgb="FF0000FF"/>
      <name val="Arial Narrow"/>
      <family val="2"/>
    </font>
    <font>
      <sz val="10"/>
      <color rgb="FF0000FF"/>
      <name val="Arial Narrow"/>
      <family val="2"/>
    </font>
    <font>
      <b/>
      <i/>
      <sz val="10"/>
      <color rgb="FF0000FF"/>
      <name val="Arial"/>
      <family val="2"/>
    </font>
    <font>
      <i/>
      <sz val="9"/>
      <color rgb="FF0000FF"/>
      <name val="Arial Narrow"/>
      <family val="2"/>
    </font>
    <font>
      <i/>
      <sz val="8"/>
      <color rgb="FF0000FF"/>
      <name val="Arial"/>
      <family val="2"/>
    </font>
    <font>
      <sz val="10"/>
      <color rgb="FFFF0000"/>
      <name val="Arial"/>
      <family val="2"/>
    </font>
    <font>
      <sz val="20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sz val="9"/>
      <color rgb="FFFF0000"/>
      <name val="Arial Narrow"/>
      <family val="2"/>
    </font>
    <font>
      <sz val="12"/>
      <color rgb="FFFF0000"/>
      <name val="Arial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 Narrow"/>
      <family val="2"/>
    </font>
    <font>
      <i/>
      <sz val="8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0" fontId="82" fillId="27" borderId="0" applyNumberFormat="0" applyBorder="0" applyAlignment="0" applyProtection="0"/>
    <xf numFmtId="0" fontId="83" fillId="28" borderId="0" applyNumberFormat="0" applyBorder="0" applyAlignment="0" applyProtection="0"/>
    <xf numFmtId="0" fontId="84" fillId="29" borderId="2" applyNumberFormat="0" applyAlignment="0" applyProtection="0"/>
    <xf numFmtId="0" fontId="85" fillId="0" borderId="3" applyNumberFormat="0" applyFill="0" applyAlignment="0" applyProtection="0"/>
    <xf numFmtId="0" fontId="86" fillId="30" borderId="0" applyNumberFormat="0" applyBorder="0" applyAlignment="0" applyProtection="0"/>
    <xf numFmtId="0" fontId="87" fillId="0" borderId="0" applyNumberFormat="0" applyBorder="0" applyAlignment="0">
      <protection/>
    </xf>
    <xf numFmtId="0" fontId="88" fillId="0" borderId="0" applyNumberFormat="0" applyFill="0" applyBorder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7" applyNumberFormat="0" applyFill="0" applyAlignment="0" applyProtection="0"/>
    <xf numFmtId="0" fontId="94" fillId="31" borderId="2" applyNumberFormat="0" applyAlignment="0" applyProtection="0"/>
    <xf numFmtId="0" fontId="95" fillId="32" borderId="8" applyNumberFormat="0" applyAlignment="0" applyProtection="0"/>
    <xf numFmtId="0" fontId="9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1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0" xfId="0" applyFont="1" applyBorder="1" applyAlignment="1">
      <alignment/>
    </xf>
    <xf numFmtId="0" fontId="15" fillId="0" borderId="10" xfId="0" applyFont="1" applyBorder="1" applyAlignment="1">
      <alignment/>
    </xf>
    <xf numFmtId="3" fontId="16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/>
    </xf>
    <xf numFmtId="14" fontId="2" fillId="0" borderId="0" xfId="0" applyNumberFormat="1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4" fontId="25" fillId="0" borderId="0" xfId="0" applyNumberFormat="1" applyFont="1" applyAlignment="1">
      <alignment/>
    </xf>
    <xf numFmtId="0" fontId="21" fillId="0" borderId="10" xfId="0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0" fontId="26" fillId="0" borderId="10" xfId="0" applyFont="1" applyBorder="1" applyAlignment="1">
      <alignment horizontal="left"/>
    </xf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164" fontId="30" fillId="0" borderId="0" xfId="0" applyNumberFormat="1" applyFont="1" applyAlignment="1">
      <alignment/>
    </xf>
    <xf numFmtId="0" fontId="27" fillId="0" borderId="0" xfId="0" applyFont="1" applyAlignment="1">
      <alignment/>
    </xf>
    <xf numFmtId="164" fontId="27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165" fontId="29" fillId="0" borderId="0" xfId="0" applyNumberFormat="1" applyFont="1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165" fontId="35" fillId="0" borderId="0" xfId="0" applyNumberFormat="1" applyFont="1" applyAlignment="1">
      <alignment/>
    </xf>
    <xf numFmtId="49" fontId="28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164" fontId="36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16" fillId="0" borderId="0" xfId="0" applyFont="1" applyAlignment="1">
      <alignment/>
    </xf>
    <xf numFmtId="165" fontId="37" fillId="0" borderId="0" xfId="0" applyNumberFormat="1" applyFont="1" applyAlignment="1">
      <alignment/>
    </xf>
    <xf numFmtId="0" fontId="98" fillId="0" borderId="10" xfId="0" applyFont="1" applyBorder="1" applyAlignment="1">
      <alignment/>
    </xf>
    <xf numFmtId="0" fontId="98" fillId="0" borderId="10" xfId="0" applyFont="1" applyBorder="1" applyAlignment="1">
      <alignment horizontal="center"/>
    </xf>
    <xf numFmtId="49" fontId="99" fillId="0" borderId="0" xfId="0" applyNumberFormat="1" applyFont="1" applyAlignment="1">
      <alignment horizontal="center"/>
    </xf>
    <xf numFmtId="0" fontId="99" fillId="0" borderId="0" xfId="0" applyFont="1" applyAlignment="1">
      <alignment horizontal="center"/>
    </xf>
    <xf numFmtId="0" fontId="99" fillId="0" borderId="0" xfId="0" applyFont="1" applyAlignment="1">
      <alignment/>
    </xf>
    <xf numFmtId="164" fontId="100" fillId="0" borderId="0" xfId="0" applyNumberFormat="1" applyFont="1" applyAlignment="1">
      <alignment/>
    </xf>
    <xf numFmtId="165" fontId="100" fillId="0" borderId="0" xfId="0" applyNumberFormat="1" applyFont="1" applyAlignment="1">
      <alignment/>
    </xf>
    <xf numFmtId="165" fontId="99" fillId="0" borderId="0" xfId="0" applyNumberFormat="1" applyFont="1" applyAlignment="1">
      <alignment/>
    </xf>
    <xf numFmtId="164" fontId="99" fillId="0" borderId="0" xfId="0" applyNumberFormat="1" applyFont="1" applyAlignment="1">
      <alignment/>
    </xf>
    <xf numFmtId="0" fontId="101" fillId="0" borderId="0" xfId="0" applyFont="1" applyAlignment="1">
      <alignment/>
    </xf>
    <xf numFmtId="0" fontId="102" fillId="0" borderId="10" xfId="0" applyFont="1" applyBorder="1" applyAlignment="1">
      <alignment horizontal="left"/>
    </xf>
    <xf numFmtId="0" fontId="103" fillId="0" borderId="10" xfId="0" applyFont="1" applyBorder="1" applyAlignment="1">
      <alignment horizontal="center"/>
    </xf>
    <xf numFmtId="1" fontId="99" fillId="0" borderId="0" xfId="0" applyNumberFormat="1" applyFont="1" applyAlignment="1">
      <alignment horizontal="center"/>
    </xf>
    <xf numFmtId="0" fontId="104" fillId="0" borderId="10" xfId="0" applyFont="1" applyBorder="1" applyAlignment="1">
      <alignment horizontal="center"/>
    </xf>
    <xf numFmtId="3" fontId="4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107" fillId="0" borderId="10" xfId="0" applyFont="1" applyBorder="1" applyAlignment="1">
      <alignment/>
    </xf>
    <xf numFmtId="49" fontId="108" fillId="0" borderId="0" xfId="0" applyNumberFormat="1" applyFont="1" applyAlignment="1">
      <alignment horizontal="center"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164" fontId="109" fillId="0" borderId="0" xfId="0" applyNumberFormat="1" applyFont="1" applyAlignment="1">
      <alignment/>
    </xf>
    <xf numFmtId="164" fontId="108" fillId="0" borderId="0" xfId="0" applyNumberFormat="1" applyFont="1" applyAlignment="1">
      <alignment/>
    </xf>
    <xf numFmtId="3" fontId="110" fillId="0" borderId="0" xfId="0" applyNumberFormat="1" applyFont="1" applyAlignment="1">
      <alignment/>
    </xf>
    <xf numFmtId="0" fontId="111" fillId="0" borderId="0" xfId="0" applyFont="1" applyAlignment="1">
      <alignment/>
    </xf>
    <xf numFmtId="3" fontId="106" fillId="0" borderId="0" xfId="0" applyNumberFormat="1" applyFont="1" applyAlignment="1">
      <alignment/>
    </xf>
    <xf numFmtId="0" fontId="112" fillId="0" borderId="10" xfId="0" applyFont="1" applyBorder="1" applyAlignment="1">
      <alignment/>
    </xf>
    <xf numFmtId="0" fontId="112" fillId="0" borderId="0" xfId="0" applyFont="1" applyAlignment="1">
      <alignment/>
    </xf>
    <xf numFmtId="3" fontId="113" fillId="0" borderId="0" xfId="0" applyNumberFormat="1" applyFont="1" applyAlignment="1">
      <alignment/>
    </xf>
    <xf numFmtId="3" fontId="112" fillId="0" borderId="0" xfId="0" applyNumberFormat="1" applyFont="1" applyAlignment="1">
      <alignment/>
    </xf>
    <xf numFmtId="3" fontId="114" fillId="0" borderId="0" xfId="0" applyNumberFormat="1" applyFont="1" applyAlignment="1">
      <alignment/>
    </xf>
    <xf numFmtId="3" fontId="108" fillId="0" borderId="0" xfId="0" applyNumberFormat="1" applyFont="1" applyAlignment="1">
      <alignment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0" fontId="114" fillId="0" borderId="0" xfId="0" applyFont="1" applyAlignment="1">
      <alignment/>
    </xf>
    <xf numFmtId="0" fontId="112" fillId="0" borderId="0" xfId="0" applyFont="1" applyAlignment="1">
      <alignment horizontal="center"/>
    </xf>
    <xf numFmtId="0" fontId="110" fillId="0" borderId="0" xfId="0" applyFont="1" applyAlignment="1">
      <alignment/>
    </xf>
    <xf numFmtId="0" fontId="117" fillId="0" borderId="10" xfId="0" applyFont="1" applyBorder="1" applyAlignment="1">
      <alignment horizontal="center"/>
    </xf>
    <xf numFmtId="1" fontId="108" fillId="0" borderId="0" xfId="0" applyNumberFormat="1" applyFont="1" applyAlignment="1">
      <alignment horizontal="center"/>
    </xf>
    <xf numFmtId="165" fontId="108" fillId="0" borderId="0" xfId="0" applyNumberFormat="1" applyFont="1" applyAlignment="1">
      <alignment/>
    </xf>
    <xf numFmtId="165" fontId="109" fillId="0" borderId="0" xfId="0" applyNumberFormat="1" applyFont="1" applyAlignment="1">
      <alignment/>
    </xf>
    <xf numFmtId="0" fontId="35" fillId="0" borderId="0" xfId="0" applyFont="1" applyAlignment="1">
      <alignment/>
    </xf>
    <xf numFmtId="0" fontId="60" fillId="0" borderId="0" xfId="0" applyFont="1" applyAlignment="1">
      <alignment/>
    </xf>
    <xf numFmtId="0" fontId="118" fillId="0" borderId="10" xfId="0" applyFont="1" applyBorder="1" applyAlignment="1">
      <alignment horizontal="center"/>
    </xf>
    <xf numFmtId="3" fontId="35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0" fontId="105" fillId="0" borderId="10" xfId="0" applyFont="1" applyBorder="1" applyAlignment="1">
      <alignment/>
    </xf>
    <xf numFmtId="0" fontId="105" fillId="0" borderId="0" xfId="0" applyFont="1" applyAlignment="1">
      <alignment horizontal="center"/>
    </xf>
    <xf numFmtId="3" fontId="119" fillId="0" borderId="0" xfId="0" applyNumberFormat="1" applyFont="1" applyAlignment="1">
      <alignment/>
    </xf>
    <xf numFmtId="3" fontId="105" fillId="0" borderId="0" xfId="0" applyNumberFormat="1" applyFont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0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24" sqref="R24"/>
    </sheetView>
  </sheetViews>
  <sheetFormatPr defaultColWidth="9.140625" defaultRowHeight="12.75"/>
  <cols>
    <col min="1" max="1" width="20.421875" style="7" customWidth="1"/>
    <col min="2" max="2" width="5.57421875" style="7" customWidth="1"/>
    <col min="3" max="9" width="5.00390625" style="7" hidden="1" customWidth="1"/>
    <col min="10" max="15" width="6.28125" style="7" customWidth="1"/>
    <col min="16" max="19" width="6.7109375" style="7" customWidth="1"/>
    <col min="20" max="20" width="7.421875" style="7" customWidth="1"/>
    <col min="21" max="21" width="1.57421875" style="7" customWidth="1"/>
    <col min="22" max="27" width="4.00390625" style="7" hidden="1" customWidth="1"/>
    <col min="28" max="28" width="5.28125" style="7" hidden="1" customWidth="1"/>
    <col min="29" max="29" width="4.7109375" style="7" hidden="1" customWidth="1"/>
    <col min="30" max="36" width="4.7109375" style="7" customWidth="1"/>
    <col min="37" max="37" width="4.8515625" style="7" customWidth="1"/>
    <col min="38" max="38" width="5.140625" style="7" customWidth="1"/>
    <col min="39" max="39" width="5.140625" style="86" customWidth="1"/>
    <col min="40" max="40" width="5.8515625" style="7" customWidth="1"/>
    <col min="41" max="16384" width="9.140625" style="7" customWidth="1"/>
  </cols>
  <sheetData>
    <row r="1" ht="12.75">
      <c r="A1" s="32">
        <v>42317</v>
      </c>
    </row>
    <row r="2" spans="1:40" ht="25.5">
      <c r="A2" s="18" t="s">
        <v>86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87"/>
      <c r="AN2" s="19"/>
    </row>
    <row r="3" spans="1:40" ht="18" customHeight="1">
      <c r="A3" s="95" t="s">
        <v>103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87"/>
      <c r="AN3" s="19"/>
    </row>
    <row r="4" spans="1:40" ht="18" customHeight="1">
      <c r="A4" s="95" t="s">
        <v>104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87"/>
      <c r="AN4" s="19"/>
    </row>
    <row r="5" spans="1:40" ht="20.25" customHeight="1">
      <c r="A5" s="20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87"/>
      <c r="AN5" s="19"/>
    </row>
    <row r="6" spans="1:40" ht="10.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87"/>
      <c r="AN6" s="19"/>
    </row>
    <row r="7" spans="2:40" ht="15" customHeight="1">
      <c r="B7" s="21" t="s">
        <v>33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118"/>
      <c r="V7" s="22" t="s">
        <v>39</v>
      </c>
      <c r="W7" s="22"/>
      <c r="X7" s="22"/>
      <c r="Y7" s="22" t="s">
        <v>39</v>
      </c>
      <c r="Z7" s="22"/>
      <c r="AA7" s="22"/>
      <c r="AB7" s="69" t="s">
        <v>39</v>
      </c>
      <c r="AD7" s="69" t="s">
        <v>39</v>
      </c>
      <c r="AE7" s="69"/>
      <c r="AF7" s="69"/>
      <c r="AG7" s="69"/>
      <c r="AH7" s="69"/>
      <c r="AI7" s="69"/>
      <c r="AJ7" s="69"/>
      <c r="AK7" s="69"/>
      <c r="AL7" s="69"/>
      <c r="AM7" s="88"/>
      <c r="AN7" s="70"/>
    </row>
    <row r="8" spans="2:40" ht="15" customHeight="1">
      <c r="B8" s="85">
        <v>1997</v>
      </c>
      <c r="C8" s="85">
        <v>1998</v>
      </c>
      <c r="D8" s="85">
        <v>1999</v>
      </c>
      <c r="E8" s="85">
        <v>2000</v>
      </c>
      <c r="F8" s="85">
        <v>2001</v>
      </c>
      <c r="G8" s="85">
        <v>2002</v>
      </c>
      <c r="H8" s="85">
        <v>2003</v>
      </c>
      <c r="I8" s="85">
        <v>2004</v>
      </c>
      <c r="J8" s="85">
        <v>2005</v>
      </c>
      <c r="K8" s="85">
        <v>2006</v>
      </c>
      <c r="L8" s="85">
        <v>2007</v>
      </c>
      <c r="M8" s="85">
        <v>2008</v>
      </c>
      <c r="N8" s="85">
        <v>2009</v>
      </c>
      <c r="O8" s="85">
        <v>2010</v>
      </c>
      <c r="P8" s="85">
        <v>2011</v>
      </c>
      <c r="Q8" s="85">
        <v>2012</v>
      </c>
      <c r="R8" s="85">
        <v>2013</v>
      </c>
      <c r="S8" s="85">
        <v>2014</v>
      </c>
      <c r="T8" s="119">
        <v>2015</v>
      </c>
      <c r="V8" s="63" t="s">
        <v>28</v>
      </c>
      <c r="W8" s="63" t="s">
        <v>29</v>
      </c>
      <c r="X8" s="63" t="s">
        <v>30</v>
      </c>
      <c r="Y8" s="63" t="s">
        <v>31</v>
      </c>
      <c r="Z8" s="63" t="s">
        <v>37</v>
      </c>
      <c r="AA8" s="63" t="s">
        <v>38</v>
      </c>
      <c r="AB8" s="71" t="s">
        <v>40</v>
      </c>
      <c r="AC8" s="71" t="s">
        <v>42</v>
      </c>
      <c r="AD8" s="71" t="s">
        <v>46</v>
      </c>
      <c r="AE8" s="71" t="s">
        <v>51</v>
      </c>
      <c r="AF8" s="71" t="s">
        <v>65</v>
      </c>
      <c r="AG8" s="71" t="s">
        <v>68</v>
      </c>
      <c r="AH8" s="71" t="s">
        <v>71</v>
      </c>
      <c r="AI8" s="71" t="s">
        <v>74</v>
      </c>
      <c r="AJ8" s="71" t="s">
        <v>76</v>
      </c>
      <c r="AK8" s="71" t="s">
        <v>78</v>
      </c>
      <c r="AL8" s="71" t="s">
        <v>83</v>
      </c>
      <c r="AM8" s="89" t="s">
        <v>85</v>
      </c>
      <c r="AN8" s="72" t="s">
        <v>93</v>
      </c>
    </row>
    <row r="9" spans="2:40" ht="15" customHeight="1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119"/>
      <c r="V9" s="53"/>
      <c r="W9" s="46"/>
      <c r="X9" s="46"/>
      <c r="Y9" s="46"/>
      <c r="Z9" s="46"/>
      <c r="AA9" s="46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90"/>
      <c r="AN9" s="72" t="s">
        <v>4</v>
      </c>
    </row>
    <row r="10" spans="20:40" ht="12.75">
      <c r="T10" s="86"/>
      <c r="V10" s="53"/>
      <c r="W10" s="46"/>
      <c r="X10" s="46"/>
      <c r="Y10" s="46"/>
      <c r="Z10" s="46"/>
      <c r="AA10" s="46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90"/>
      <c r="AN10" s="72" t="s">
        <v>49</v>
      </c>
    </row>
    <row r="11" spans="20:40" ht="12.75">
      <c r="T11" s="86"/>
      <c r="V11" s="53"/>
      <c r="W11" s="46"/>
      <c r="X11" s="46"/>
      <c r="Y11" s="46"/>
      <c r="Z11" s="46"/>
      <c r="AA11" s="46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90"/>
      <c r="AN11" s="72"/>
    </row>
    <row r="12" spans="1:40" ht="15" customHeight="1">
      <c r="A12" s="67" t="s">
        <v>52</v>
      </c>
      <c r="T12" s="86"/>
      <c r="V12" s="53"/>
      <c r="W12" s="64"/>
      <c r="X12" s="64"/>
      <c r="Y12" s="64"/>
      <c r="Z12" s="64"/>
      <c r="AA12" s="64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91"/>
      <c r="AN12" s="73"/>
    </row>
    <row r="13" spans="1:46" ht="16.5" customHeight="1">
      <c r="A13" s="67" t="s">
        <v>53</v>
      </c>
      <c r="B13" s="23">
        <f aca="true" t="shared" si="0" ref="B13:H13">B16+B17+B18+B19</f>
        <v>3931.9005403878077</v>
      </c>
      <c r="C13" s="23">
        <f t="shared" si="0"/>
        <v>4018.4872168766497</v>
      </c>
      <c r="D13" s="23">
        <f t="shared" si="0"/>
        <v>4128.085197276028</v>
      </c>
      <c r="E13" s="23">
        <f t="shared" si="0"/>
        <v>4453.700218476117</v>
      </c>
      <c r="F13" s="23">
        <f t="shared" si="0"/>
        <v>4840.067</v>
      </c>
      <c r="G13" s="23">
        <f t="shared" si="0"/>
        <v>5255.994000000001</v>
      </c>
      <c r="H13" s="23">
        <f t="shared" si="0"/>
        <v>5625.9980000000005</v>
      </c>
      <c r="I13" s="23">
        <f aca="true" t="shared" si="1" ref="I13:N13">I16+I17+I18+I19</f>
        <v>6081.83</v>
      </c>
      <c r="J13" s="23">
        <f t="shared" si="1"/>
        <v>6491.856</v>
      </c>
      <c r="K13" s="23">
        <f t="shared" si="1"/>
        <v>6931.188</v>
      </c>
      <c r="L13" s="23">
        <f t="shared" si="1"/>
        <v>7391.619000000001</v>
      </c>
      <c r="M13" s="23">
        <f t="shared" si="1"/>
        <v>8283.817</v>
      </c>
      <c r="N13" s="23">
        <f t="shared" si="1"/>
        <v>8784.015</v>
      </c>
      <c r="O13" s="23">
        <f>O16+O17+O18+O19</f>
        <v>9836.079</v>
      </c>
      <c r="P13" s="23">
        <f>P16+P17+P18+P19</f>
        <v>10494.843</v>
      </c>
      <c r="Q13" s="23">
        <f>Q16+Q17+Q18+Q19</f>
        <v>11100.295</v>
      </c>
      <c r="R13" s="23">
        <f>R16+R17+R18+R19</f>
        <v>11739.172</v>
      </c>
      <c r="S13" s="23">
        <f>S16+S17+S18+S19</f>
        <v>12089.593</v>
      </c>
      <c r="T13" s="120">
        <f>T16+T17+T18+T19</f>
        <v>12845.951</v>
      </c>
      <c r="U13" s="23"/>
      <c r="V13" s="65">
        <f aca="true" t="shared" si="2" ref="V13:AM13">100*(C13-B13)/B13</f>
        <v>2.202158360808938</v>
      </c>
      <c r="W13" s="65">
        <f t="shared" si="2"/>
        <v>2.7273442587821197</v>
      </c>
      <c r="X13" s="65">
        <f t="shared" si="2"/>
        <v>7.887797989609076</v>
      </c>
      <c r="Y13" s="65">
        <f t="shared" si="2"/>
        <v>8.675186082822677</v>
      </c>
      <c r="Z13" s="65">
        <f t="shared" si="2"/>
        <v>8.593414099432932</v>
      </c>
      <c r="AA13" s="65">
        <f t="shared" si="2"/>
        <v>7.039657960035721</v>
      </c>
      <c r="AB13" s="74">
        <f t="shared" si="2"/>
        <v>8.102242482133825</v>
      </c>
      <c r="AC13" s="74">
        <f t="shared" si="2"/>
        <v>6.741819485253614</v>
      </c>
      <c r="AD13" s="74">
        <f t="shared" si="2"/>
        <v>6.767432919029632</v>
      </c>
      <c r="AE13" s="74">
        <f t="shared" si="2"/>
        <v>6.6428871933642615</v>
      </c>
      <c r="AF13" s="74">
        <f t="shared" si="2"/>
        <v>12.070400273607154</v>
      </c>
      <c r="AG13" s="74">
        <f t="shared" si="2"/>
        <v>6.038255070096314</v>
      </c>
      <c r="AH13" s="74">
        <f t="shared" si="2"/>
        <v>11.977028727751494</v>
      </c>
      <c r="AI13" s="74">
        <f t="shared" si="2"/>
        <v>6.69742485801508</v>
      </c>
      <c r="AJ13" s="74">
        <f t="shared" si="2"/>
        <v>5.769042948046</v>
      </c>
      <c r="AK13" s="74">
        <f t="shared" si="2"/>
        <v>5.755495687276783</v>
      </c>
      <c r="AL13" s="74">
        <f t="shared" si="2"/>
        <v>2.9850572084641085</v>
      </c>
      <c r="AM13" s="92">
        <f t="shared" si="2"/>
        <v>6.2562734742186805</v>
      </c>
      <c r="AN13" s="75">
        <f>100*(EXP(LN(T13/B13)/18)-1)</f>
        <v>6.798376816563501</v>
      </c>
      <c r="AO13" s="24"/>
      <c r="AP13" s="24"/>
      <c r="AQ13" s="24"/>
      <c r="AR13" s="24"/>
      <c r="AS13" s="24"/>
      <c r="AT13" s="24"/>
    </row>
    <row r="14" spans="20:40" ht="7.5" customHeight="1">
      <c r="T14" s="86"/>
      <c r="V14" s="64"/>
      <c r="W14" s="64"/>
      <c r="X14" s="64"/>
      <c r="Y14" s="64"/>
      <c r="Z14" s="64"/>
      <c r="AA14" s="64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91"/>
      <c r="AN14" s="76"/>
    </row>
    <row r="15" spans="1:40" ht="20.25" customHeight="1">
      <c r="A15" s="7" t="s">
        <v>3</v>
      </c>
      <c r="D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121"/>
      <c r="V15" s="64"/>
      <c r="W15" s="64"/>
      <c r="X15" s="64"/>
      <c r="Y15" s="64"/>
      <c r="Z15" s="64"/>
      <c r="AA15" s="64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91"/>
      <c r="AN15" s="76"/>
    </row>
    <row r="16" spans="1:45" ht="20.25" customHeight="1">
      <c r="A16" s="7" t="s">
        <v>54</v>
      </c>
      <c r="B16" s="25">
        <f>(95.504+61.73+19.064)/5.94573</f>
        <v>29.651195059311473</v>
      </c>
      <c r="C16" s="25">
        <f>(65.846+99.961+20.259)/5.94573</f>
        <v>31.294054724987518</v>
      </c>
      <c r="D16" s="25">
        <f>(123.827+71.897)/5.94573</f>
        <v>32.91841371875278</v>
      </c>
      <c r="E16" s="25">
        <f>(113.508+95.671)/5.94573</f>
        <v>35.18138226929241</v>
      </c>
      <c r="F16" s="25">
        <f>17.563+20.468</f>
        <v>38.031</v>
      </c>
      <c r="G16" s="25">
        <f>24.05+19.077</f>
        <v>43.127</v>
      </c>
      <c r="H16" s="25">
        <f>23.405+25.02</f>
        <v>48.425</v>
      </c>
      <c r="I16" s="25">
        <f>22.162+27.137</f>
        <v>49.299</v>
      </c>
      <c r="J16" s="25">
        <f>23.531+29.805</f>
        <v>53.336</v>
      </c>
      <c r="K16" s="25">
        <f>24.664+31.788</f>
        <v>56.452</v>
      </c>
      <c r="L16" s="25">
        <f>24.428+32.536</f>
        <v>56.964</v>
      </c>
      <c r="M16" s="25">
        <f>33.809+26.846</f>
        <v>60.655</v>
      </c>
      <c r="N16" s="25">
        <f>36.237+27.177</f>
        <v>63.414</v>
      </c>
      <c r="O16" s="25">
        <f>38.172+57.607</f>
        <v>95.779</v>
      </c>
      <c r="P16" s="25">
        <f>57.931+38.515</f>
        <v>96.446</v>
      </c>
      <c r="Q16" s="25">
        <f>67.759+38.112</f>
        <v>105.87100000000001</v>
      </c>
      <c r="R16" s="25">
        <f>66.468+40.017</f>
        <v>106.48500000000001</v>
      </c>
      <c r="S16" s="25">
        <f>73.741+38.678</f>
        <v>112.419</v>
      </c>
      <c r="T16" s="121">
        <f>40.264+72.135</f>
        <v>112.399</v>
      </c>
      <c r="U16" s="25"/>
      <c r="V16" s="66">
        <f aca="true" t="shared" si="3" ref="V16:AM19">100*(C16-B16)/B16</f>
        <v>5.5406187251131795</v>
      </c>
      <c r="W16" s="66">
        <f t="shared" si="3"/>
        <v>5.190631281373241</v>
      </c>
      <c r="X16" s="66">
        <f t="shared" si="3"/>
        <v>6.874476303365969</v>
      </c>
      <c r="Y16" s="66">
        <f t="shared" si="3"/>
        <v>8.09978899889569</v>
      </c>
      <c r="Z16" s="66">
        <f t="shared" si="3"/>
        <v>13.399595067182046</v>
      </c>
      <c r="AA16" s="66">
        <f t="shared" si="3"/>
        <v>12.284647668513912</v>
      </c>
      <c r="AB16" s="77">
        <f t="shared" si="3"/>
        <v>1.8048528652555547</v>
      </c>
      <c r="AC16" s="77">
        <f t="shared" si="3"/>
        <v>8.188807075194221</v>
      </c>
      <c r="AD16" s="77">
        <f t="shared" si="3"/>
        <v>5.842207889605519</v>
      </c>
      <c r="AE16" s="77">
        <f t="shared" si="3"/>
        <v>0.9069652093814222</v>
      </c>
      <c r="AF16" s="77">
        <f t="shared" si="3"/>
        <v>6.479530931816591</v>
      </c>
      <c r="AG16" s="77">
        <f t="shared" si="3"/>
        <v>4.548676943368231</v>
      </c>
      <c r="AH16" s="77">
        <f t="shared" si="3"/>
        <v>51.037625760872984</v>
      </c>
      <c r="AI16" s="77">
        <f t="shared" si="3"/>
        <v>0.6963948255880742</v>
      </c>
      <c r="AJ16" s="77">
        <f t="shared" si="3"/>
        <v>9.772307819919968</v>
      </c>
      <c r="AK16" s="77">
        <f t="shared" si="3"/>
        <v>0.5799510725316699</v>
      </c>
      <c r="AL16" s="77">
        <f t="shared" si="3"/>
        <v>5.572615861388911</v>
      </c>
      <c r="AM16" s="93">
        <f t="shared" si="3"/>
        <v>-0.01779058700041454</v>
      </c>
      <c r="AN16" s="76">
        <f>100*(EXP(LN(T16/B16)/18)-1)</f>
        <v>7.683986459773928</v>
      </c>
      <c r="AO16" s="24"/>
      <c r="AP16" s="24"/>
      <c r="AQ16" s="24"/>
      <c r="AR16" s="24"/>
      <c r="AS16" s="24"/>
    </row>
    <row r="17" spans="1:45" ht="20.25" customHeight="1">
      <c r="A17" s="7" t="s">
        <v>55</v>
      </c>
      <c r="B17" s="25">
        <f>(164.088+364.198+4.737)/5.94573</f>
        <v>89.64803312629398</v>
      </c>
      <c r="C17" s="25">
        <f>(93.747+373.624+5.704)/5.94573</f>
        <v>79.56550331077933</v>
      </c>
      <c r="D17" s="25">
        <f>(393.417+48.111)/5.94573</f>
        <v>74.25967879469803</v>
      </c>
      <c r="E17" s="25">
        <f>(80.013+412.853)/5.94573</f>
        <v>82.89411056337909</v>
      </c>
      <c r="F17" s="25">
        <f>77.775+9.876</f>
        <v>87.65100000000001</v>
      </c>
      <c r="G17" s="25">
        <f>9.93+86.568</f>
        <v>96.49799999999999</v>
      </c>
      <c r="H17" s="25">
        <f>90.008+9.991</f>
        <v>99.999</v>
      </c>
      <c r="I17" s="25">
        <f>103.28+11.567</f>
        <v>114.84700000000001</v>
      </c>
      <c r="J17" s="25">
        <f>107.415+14.386</f>
        <v>121.801</v>
      </c>
      <c r="K17" s="25">
        <f>15.063+107.052</f>
        <v>122.11500000000001</v>
      </c>
      <c r="L17" s="25">
        <f>179.112+15.645</f>
        <v>194.757</v>
      </c>
      <c r="M17" s="25">
        <f>18.308+234.465</f>
        <v>252.773</v>
      </c>
      <c r="N17" s="25">
        <f>481.301+20.385</f>
        <v>501.686</v>
      </c>
      <c r="O17" s="25">
        <f>21.052+750.343</f>
        <v>771.395</v>
      </c>
      <c r="P17" s="25">
        <f>813.514+21.758</f>
        <v>835.272</v>
      </c>
      <c r="Q17" s="25">
        <f>1030.104+24.315</f>
        <v>1054.419</v>
      </c>
      <c r="R17" s="25">
        <f>828.924+18.12</f>
        <v>847.044</v>
      </c>
      <c r="S17" s="25">
        <f>852.383+22.174</f>
        <v>874.557</v>
      </c>
      <c r="T17" s="121">
        <f>55.723+826.213</f>
        <v>881.9359999999999</v>
      </c>
      <c r="U17" s="25"/>
      <c r="V17" s="66">
        <f t="shared" si="3"/>
        <v>-11.246794228391629</v>
      </c>
      <c r="W17" s="66">
        <f t="shared" si="3"/>
        <v>-6.668498652433564</v>
      </c>
      <c r="X17" s="66">
        <f t="shared" si="3"/>
        <v>11.627348661919518</v>
      </c>
      <c r="Y17" s="66">
        <f t="shared" si="3"/>
        <v>5.7385131516477355</v>
      </c>
      <c r="Z17" s="66">
        <f t="shared" si="3"/>
        <v>10.093438751411826</v>
      </c>
      <c r="AA17" s="66">
        <f t="shared" si="3"/>
        <v>3.628054467450108</v>
      </c>
      <c r="AB17" s="77">
        <f t="shared" si="3"/>
        <v>14.848148481484829</v>
      </c>
      <c r="AC17" s="77">
        <f t="shared" si="3"/>
        <v>6.0550123207397615</v>
      </c>
      <c r="AD17" s="77">
        <f t="shared" si="3"/>
        <v>0.2577975550282897</v>
      </c>
      <c r="AE17" s="77">
        <f t="shared" si="3"/>
        <v>59.486549563935625</v>
      </c>
      <c r="AF17" s="77">
        <f t="shared" si="3"/>
        <v>29.788916444595056</v>
      </c>
      <c r="AG17" s="77">
        <f t="shared" si="3"/>
        <v>98.47293816982035</v>
      </c>
      <c r="AH17" s="77">
        <f t="shared" si="3"/>
        <v>53.76051952815108</v>
      </c>
      <c r="AI17" s="77">
        <f t="shared" si="3"/>
        <v>8.280712216179786</v>
      </c>
      <c r="AJ17" s="77">
        <f t="shared" si="3"/>
        <v>26.236603166393706</v>
      </c>
      <c r="AK17" s="77">
        <f t="shared" si="3"/>
        <v>-19.667229061691803</v>
      </c>
      <c r="AL17" s="77">
        <f t="shared" si="3"/>
        <v>3.2481193420884904</v>
      </c>
      <c r="AM17" s="93">
        <f t="shared" si="3"/>
        <v>0.8437414599620042</v>
      </c>
      <c r="AN17" s="76">
        <f>100*(EXP(LN(T17/B17)/18)-1)</f>
        <v>13.54314143725055</v>
      </c>
      <c r="AO17" s="24"/>
      <c r="AP17" s="24"/>
      <c r="AQ17" s="24"/>
      <c r="AR17" s="24"/>
      <c r="AS17" s="24"/>
    </row>
    <row r="18" spans="1:45" ht="20.25" customHeight="1">
      <c r="A18" s="7" t="s">
        <v>56</v>
      </c>
      <c r="B18" s="25">
        <f>(733.219+18753.564+49.844+0.676)/5.94573</f>
        <v>3285.938480220259</v>
      </c>
      <c r="C18" s="25">
        <f>(18986.037+764.222+52.706+0.807)/5.94573</f>
        <v>3330.7553487965315</v>
      </c>
      <c r="D18" s="25">
        <f>(19355.1+885.837)/5.94573</f>
        <v>3404.2812236680775</v>
      </c>
      <c r="E18" s="25">
        <f>(914.238+20773.865)/5.94573</f>
        <v>3647.6770724536773</v>
      </c>
      <c r="F18" s="25">
        <f>3709.61+174.379</f>
        <v>3883.989</v>
      </c>
      <c r="G18" s="25">
        <f>191.723+4001.59</f>
        <v>4193.313</v>
      </c>
      <c r="H18" s="25">
        <f>4217.647+208.939</f>
        <v>4426.586</v>
      </c>
      <c r="I18" s="25">
        <f>4514.107+224.535</f>
        <v>4738.642</v>
      </c>
      <c r="J18" s="25">
        <f>4732.874+248.725</f>
        <v>4981.599</v>
      </c>
      <c r="K18" s="25">
        <f>4986.018+256.465</f>
        <v>5242.483</v>
      </c>
      <c r="L18" s="25">
        <f>5226.578+274.339</f>
        <v>5500.917</v>
      </c>
      <c r="M18" s="25">
        <f>333.677+5738.977</f>
        <v>6072.6539999999995</v>
      </c>
      <c r="N18" s="25">
        <f>358.719+5797.701</f>
        <v>6156.42</v>
      </c>
      <c r="O18" s="25">
        <f>499.219+6177.896</f>
        <v>6677.115</v>
      </c>
      <c r="P18" s="25">
        <f>6515.303+570.732</f>
        <v>7086.035</v>
      </c>
      <c r="Q18" s="25">
        <f>6731.138+629.332</f>
        <v>7360.47</v>
      </c>
      <c r="R18" s="25">
        <f>7358.467+660.361</f>
        <v>8018.8279999999995</v>
      </c>
      <c r="S18" s="25">
        <f>7604.692+681.968</f>
        <v>8286.66</v>
      </c>
      <c r="T18" s="121">
        <f>862.799+7966.263</f>
        <v>8829.062</v>
      </c>
      <c r="U18" s="25"/>
      <c r="V18" s="66">
        <f t="shared" si="3"/>
        <v>1.363898589278167</v>
      </c>
      <c r="W18" s="66">
        <f t="shared" si="3"/>
        <v>2.2074835036476737</v>
      </c>
      <c r="X18" s="66">
        <f t="shared" si="3"/>
        <v>7.149698652784723</v>
      </c>
      <c r="Y18" s="66">
        <f t="shared" si="3"/>
        <v>6.478422372717418</v>
      </c>
      <c r="Z18" s="66">
        <f t="shared" si="3"/>
        <v>7.96408022782763</v>
      </c>
      <c r="AA18" s="66">
        <f t="shared" si="3"/>
        <v>5.5629761002815705</v>
      </c>
      <c r="AB18" s="77">
        <f t="shared" si="3"/>
        <v>7.0495862951719355</v>
      </c>
      <c r="AC18" s="77">
        <f t="shared" si="3"/>
        <v>5.127144021430619</v>
      </c>
      <c r="AD18" s="77">
        <f t="shared" si="3"/>
        <v>5.2369530345577795</v>
      </c>
      <c r="AE18" s="77">
        <f t="shared" si="3"/>
        <v>4.92961064442174</v>
      </c>
      <c r="AF18" s="77">
        <f t="shared" si="3"/>
        <v>10.39348530435924</v>
      </c>
      <c r="AG18" s="77">
        <f t="shared" si="3"/>
        <v>1.379396883142042</v>
      </c>
      <c r="AH18" s="77">
        <f t="shared" si="3"/>
        <v>8.457756293430268</v>
      </c>
      <c r="AI18" s="77">
        <f t="shared" si="3"/>
        <v>6.12420184465896</v>
      </c>
      <c r="AJ18" s="77">
        <f t="shared" si="3"/>
        <v>3.87289930123123</v>
      </c>
      <c r="AK18" s="77">
        <f t="shared" si="3"/>
        <v>8.944510336975753</v>
      </c>
      <c r="AL18" s="77">
        <f t="shared" si="3"/>
        <v>3.3400392177011446</v>
      </c>
      <c r="AM18" s="93">
        <f t="shared" si="3"/>
        <v>6.545483946487487</v>
      </c>
      <c r="AN18" s="76">
        <f>100*(EXP(LN(T18/B18)/18)-1)</f>
        <v>5.644649768377641</v>
      </c>
      <c r="AO18" s="24"/>
      <c r="AP18" s="24"/>
      <c r="AQ18" s="24"/>
      <c r="AR18" s="24"/>
      <c r="AS18" s="24"/>
    </row>
    <row r="19" spans="1:45" ht="20.25" customHeight="1">
      <c r="A19" s="7" t="s">
        <v>57</v>
      </c>
      <c r="B19" s="25">
        <f>(304.852+2818.535+8.008)/5.94573</f>
        <v>526.6628319819432</v>
      </c>
      <c r="C19" s="25">
        <f>(349.656+3070.683+9.588)/5.94573</f>
        <v>576.8723100443511</v>
      </c>
      <c r="D19" s="25">
        <f>(3287.193+379.098)/5.94573</f>
        <v>616.6258810944997</v>
      </c>
      <c r="E19" s="25">
        <f>(369.736+3720.615)/5.94573</f>
        <v>687.9476531897681</v>
      </c>
      <c r="F19" s="25">
        <f>754.211+76.185</f>
        <v>830.396</v>
      </c>
      <c r="G19" s="25">
        <f>86.552+836.504</f>
        <v>923.056</v>
      </c>
      <c r="H19" s="25">
        <f>954.884+96.104</f>
        <v>1050.988</v>
      </c>
      <c r="I19" s="25">
        <f>1069.558+109.484</f>
        <v>1179.042</v>
      </c>
      <c r="J19" s="25">
        <f>1190.329+144.791</f>
        <v>1335.12</v>
      </c>
      <c r="K19" s="25">
        <f>1350.701+159.437</f>
        <v>1510.138</v>
      </c>
      <c r="L19" s="25">
        <f>1465.462+173.519</f>
        <v>1638.981</v>
      </c>
      <c r="M19" s="25">
        <f>221.397+1676.338</f>
        <v>1897.735</v>
      </c>
      <c r="N19" s="25">
        <f>232.341+1830.154</f>
        <v>2062.495</v>
      </c>
      <c r="O19" s="25">
        <f>1944.182+347.608</f>
        <v>2291.79</v>
      </c>
      <c r="P19" s="25">
        <f>2085.952+391.138</f>
        <v>2477.09</v>
      </c>
      <c r="Q19" s="25">
        <f>2199.68+379.855</f>
        <v>2579.535</v>
      </c>
      <c r="R19" s="25">
        <f>2401.088+365.727</f>
        <v>2766.815</v>
      </c>
      <c r="S19" s="25">
        <f>2439.52+376.437</f>
        <v>2815.957</v>
      </c>
      <c r="T19" s="121">
        <f>448.133+2574.421</f>
        <v>3022.5539999999996</v>
      </c>
      <c r="U19" s="25"/>
      <c r="V19" s="66">
        <f t="shared" si="3"/>
        <v>9.533514615690475</v>
      </c>
      <c r="W19" s="66">
        <f t="shared" si="3"/>
        <v>6.891225381764685</v>
      </c>
      <c r="X19" s="66">
        <f t="shared" si="3"/>
        <v>11.566457763445396</v>
      </c>
      <c r="Y19" s="66">
        <f t="shared" si="3"/>
        <v>20.706277018280343</v>
      </c>
      <c r="Z19" s="66">
        <f t="shared" si="3"/>
        <v>11.158531592156042</v>
      </c>
      <c r="AA19" s="66">
        <f t="shared" si="3"/>
        <v>13.859614151254096</v>
      </c>
      <c r="AB19" s="77">
        <f t="shared" si="3"/>
        <v>12.184154338584252</v>
      </c>
      <c r="AC19" s="77">
        <f t="shared" si="3"/>
        <v>13.237696367050537</v>
      </c>
      <c r="AD19" s="77">
        <f t="shared" si="3"/>
        <v>13.108784229132965</v>
      </c>
      <c r="AE19" s="77">
        <f t="shared" si="3"/>
        <v>8.531869272874404</v>
      </c>
      <c r="AF19" s="77">
        <f t="shared" si="3"/>
        <v>15.787492350429925</v>
      </c>
      <c r="AG19" s="77">
        <f t="shared" si="3"/>
        <v>8.68192872029024</v>
      </c>
      <c r="AH19" s="77">
        <f t="shared" si="3"/>
        <v>11.117360284509784</v>
      </c>
      <c r="AI19" s="77">
        <f t="shared" si="3"/>
        <v>8.08538304120361</v>
      </c>
      <c r="AJ19" s="77">
        <f t="shared" si="3"/>
        <v>4.135699550682442</v>
      </c>
      <c r="AK19" s="77">
        <f t="shared" si="3"/>
        <v>7.260223257292505</v>
      </c>
      <c r="AL19" s="77">
        <f t="shared" si="3"/>
        <v>1.7761216416710126</v>
      </c>
      <c r="AM19" s="93">
        <f t="shared" si="3"/>
        <v>7.336653223042815</v>
      </c>
      <c r="AN19" s="76">
        <f>100*(EXP(LN(T19/B19)/18)-1)</f>
        <v>10.193976503459655</v>
      </c>
      <c r="AO19" s="24"/>
      <c r="AP19" s="24"/>
      <c r="AQ19" s="24"/>
      <c r="AR19" s="24"/>
      <c r="AS19" s="24"/>
    </row>
    <row r="20" spans="1:40" ht="19.5" customHeight="1">
      <c r="A20" s="19"/>
      <c r="B20" s="26"/>
      <c r="C20" s="26"/>
      <c r="D20" s="26"/>
      <c r="E20" s="26"/>
      <c r="F20" s="26"/>
      <c r="G20" s="26"/>
      <c r="H20" s="26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26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94"/>
      <c r="AN20" s="52"/>
    </row>
  </sheetData>
  <sheetProtection/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3"/>
  <sheetViews>
    <sheetView zoomScalePageLayoutView="0" workbookViewId="0" topLeftCell="A1">
      <pane xSplit="1" ySplit="10" topLeftCell="B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O18" sqref="AO18"/>
    </sheetView>
  </sheetViews>
  <sheetFormatPr defaultColWidth="9.140625" defaultRowHeight="12.75"/>
  <cols>
    <col min="1" max="1" width="28.8515625" style="7" customWidth="1"/>
    <col min="2" max="2" width="5.8515625" style="7" customWidth="1"/>
    <col min="3" max="9" width="5.8515625" style="7" hidden="1" customWidth="1"/>
    <col min="10" max="10" width="5.8515625" style="7" customWidth="1"/>
    <col min="11" max="19" width="5.140625" style="7" customWidth="1"/>
    <col min="20" max="20" width="5.140625" style="86" customWidth="1"/>
    <col min="21" max="21" width="1.8515625" style="7" customWidth="1"/>
    <col min="22" max="23" width="4.140625" style="7" hidden="1" customWidth="1"/>
    <col min="24" max="27" width="4.00390625" style="7" hidden="1" customWidth="1"/>
    <col min="28" max="28" width="4.57421875" style="7" hidden="1" customWidth="1"/>
    <col min="29" max="29" width="5.28125" style="7" hidden="1" customWidth="1"/>
    <col min="30" max="38" width="5.28125" style="7" customWidth="1"/>
    <col min="39" max="39" width="5.28125" style="86" customWidth="1"/>
    <col min="40" max="40" width="6.00390625" style="7" customWidth="1"/>
    <col min="41" max="16384" width="9.140625" style="7" customWidth="1"/>
  </cols>
  <sheetData>
    <row r="1" ht="12.75">
      <c r="A1" s="32">
        <v>42683</v>
      </c>
    </row>
    <row r="2" spans="1:40" ht="25.5">
      <c r="A2" s="28" t="s">
        <v>87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87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87"/>
      <c r="AN2" s="19"/>
    </row>
    <row r="3" spans="1:40" ht="17.25" customHeight="1">
      <c r="A3" s="95" t="s">
        <v>103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87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87"/>
      <c r="AN3" s="19"/>
    </row>
    <row r="4" spans="1:40" ht="17.25" customHeight="1">
      <c r="A4" s="95" t="s">
        <v>104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87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87"/>
      <c r="AN4" s="19"/>
    </row>
    <row r="5" spans="1:40" ht="17.25" customHeight="1">
      <c r="A5" s="20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87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87"/>
      <c r="AN5" s="19"/>
    </row>
    <row r="6" spans="1:40" ht="9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87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87"/>
      <c r="AN6" s="19"/>
    </row>
    <row r="7" spans="1:40" ht="15" customHeight="1">
      <c r="A7" s="53" t="s">
        <v>81</v>
      </c>
      <c r="B7" s="54" t="s">
        <v>33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97"/>
      <c r="V7" s="22" t="s">
        <v>39</v>
      </c>
      <c r="W7" s="22"/>
      <c r="X7" s="22"/>
      <c r="Y7" s="22" t="s">
        <v>39</v>
      </c>
      <c r="Z7" s="22"/>
      <c r="AA7" s="22"/>
      <c r="AD7" s="69" t="s">
        <v>39</v>
      </c>
      <c r="AE7" s="69"/>
      <c r="AF7" s="69"/>
      <c r="AG7" s="69"/>
      <c r="AH7" s="69"/>
      <c r="AI7" s="69"/>
      <c r="AJ7" s="69"/>
      <c r="AK7" s="69"/>
      <c r="AL7" s="69"/>
      <c r="AM7" s="88"/>
      <c r="AN7" s="70"/>
    </row>
    <row r="8" spans="1:40" ht="15" customHeight="1">
      <c r="A8" s="53"/>
      <c r="B8" s="53">
        <v>1997</v>
      </c>
      <c r="C8" s="53">
        <v>1998</v>
      </c>
      <c r="D8" s="53">
        <v>1999</v>
      </c>
      <c r="E8" s="53">
        <v>2000</v>
      </c>
      <c r="F8" s="53">
        <v>2001</v>
      </c>
      <c r="G8" s="53">
        <v>2002</v>
      </c>
      <c r="H8" s="53">
        <v>2003</v>
      </c>
      <c r="I8" s="53">
        <v>2004</v>
      </c>
      <c r="J8" s="53">
        <v>2005</v>
      </c>
      <c r="K8" s="53">
        <v>2006</v>
      </c>
      <c r="L8" s="53">
        <v>2007</v>
      </c>
      <c r="M8" s="53">
        <v>2008</v>
      </c>
      <c r="N8" s="53">
        <v>2009</v>
      </c>
      <c r="O8" s="53">
        <v>2010</v>
      </c>
      <c r="P8" s="53">
        <v>2011</v>
      </c>
      <c r="Q8" s="53">
        <v>2012</v>
      </c>
      <c r="R8" s="53">
        <v>2013</v>
      </c>
      <c r="S8" s="53">
        <v>2014</v>
      </c>
      <c r="T8" s="98">
        <v>2015</v>
      </c>
      <c r="V8" s="44" t="s">
        <v>28</v>
      </c>
      <c r="W8" s="44" t="s">
        <v>29</v>
      </c>
      <c r="X8" s="44" t="s">
        <v>30</v>
      </c>
      <c r="Y8" s="44" t="s">
        <v>31</v>
      </c>
      <c r="Z8" s="44" t="s">
        <v>37</v>
      </c>
      <c r="AA8" s="44" t="s">
        <v>38</v>
      </c>
      <c r="AB8" s="71" t="s">
        <v>40</v>
      </c>
      <c r="AC8" s="71" t="s">
        <v>42</v>
      </c>
      <c r="AD8" s="71" t="s">
        <v>46</v>
      </c>
      <c r="AE8" s="71" t="s">
        <v>51</v>
      </c>
      <c r="AF8" s="71" t="s">
        <v>65</v>
      </c>
      <c r="AG8" s="71" t="s">
        <v>67</v>
      </c>
      <c r="AH8" s="71" t="s">
        <v>71</v>
      </c>
      <c r="AI8" s="71" t="s">
        <v>74</v>
      </c>
      <c r="AJ8" s="71" t="s">
        <v>76</v>
      </c>
      <c r="AK8" s="71" t="s">
        <v>78</v>
      </c>
      <c r="AL8" s="71" t="s">
        <v>83</v>
      </c>
      <c r="AM8" s="89" t="s">
        <v>85</v>
      </c>
      <c r="AN8" s="72" t="s">
        <v>93</v>
      </c>
    </row>
    <row r="9" spans="1:40" ht="1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98"/>
      <c r="V9" s="47"/>
      <c r="W9" s="45"/>
      <c r="X9" s="45"/>
      <c r="Y9" s="45"/>
      <c r="Z9" s="45"/>
      <c r="AA9" s="45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90"/>
      <c r="AN9" s="72" t="s">
        <v>4</v>
      </c>
    </row>
    <row r="10" spans="1:40" ht="1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98"/>
      <c r="V10" s="47"/>
      <c r="W10" s="45"/>
      <c r="X10" s="45"/>
      <c r="Y10" s="45"/>
      <c r="Z10" s="45"/>
      <c r="AA10" s="45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90"/>
      <c r="AN10" s="72" t="s">
        <v>49</v>
      </c>
    </row>
    <row r="11" spans="1:40" ht="9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98"/>
      <c r="V11" s="47"/>
      <c r="W11" s="45"/>
      <c r="X11" s="45"/>
      <c r="Y11" s="45"/>
      <c r="Z11" s="45"/>
      <c r="AA11" s="45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90"/>
      <c r="AN11" s="72"/>
    </row>
    <row r="12" spans="1:46" ht="15" customHeight="1">
      <c r="A12" s="55" t="s">
        <v>2</v>
      </c>
      <c r="B12" s="56">
        <v>526.6801553383689</v>
      </c>
      <c r="C12" s="56">
        <v>576.8771874942184</v>
      </c>
      <c r="D12" s="56">
        <v>616.6258810944997</v>
      </c>
      <c r="E12" s="56">
        <v>687.9476531897681</v>
      </c>
      <c r="F12" s="56">
        <v>830.185</v>
      </c>
      <c r="G12" s="56">
        <f>836.504+86.552</f>
        <v>923.056</v>
      </c>
      <c r="H12" s="56">
        <f>954.884+96.104</f>
        <v>1050.988</v>
      </c>
      <c r="I12" s="56">
        <f>1069.558+109.484</f>
        <v>1179.042</v>
      </c>
      <c r="J12" s="56">
        <f>1190.329+144.791</f>
        <v>1335.12</v>
      </c>
      <c r="K12" s="56">
        <f>1350.701+159.437</f>
        <v>1510.138</v>
      </c>
      <c r="L12" s="56">
        <f>1465.462+173.519</f>
        <v>1638.981</v>
      </c>
      <c r="M12" s="56">
        <f>1676.338+221.397</f>
        <v>1897.735</v>
      </c>
      <c r="N12" s="56">
        <f>1830.154+232.341</f>
        <v>2062.495</v>
      </c>
      <c r="O12" s="56">
        <f>1944.182+347.608</f>
        <v>2291.79</v>
      </c>
      <c r="P12" s="56">
        <v>2477.09</v>
      </c>
      <c r="Q12" s="56">
        <v>2579.532</v>
      </c>
      <c r="R12" s="56">
        <f>2401.088+365.727</f>
        <v>2766.815</v>
      </c>
      <c r="S12" s="56">
        <v>2815.957</v>
      </c>
      <c r="T12" s="99">
        <v>3022.554</v>
      </c>
      <c r="U12" s="23"/>
      <c r="V12" s="48">
        <f aca="true" t="shared" si="0" ref="V12:AM12">100*(C12-B12)/B12</f>
        <v>9.530837956786161</v>
      </c>
      <c r="W12" s="48">
        <f t="shared" si="0"/>
        <v>6.890321625117071</v>
      </c>
      <c r="X12" s="48">
        <f t="shared" si="0"/>
        <v>11.566457763445396</v>
      </c>
      <c r="Y12" s="48">
        <f t="shared" si="0"/>
        <v>20.675606080016117</v>
      </c>
      <c r="Z12" s="48">
        <f t="shared" si="0"/>
        <v>11.186783668700363</v>
      </c>
      <c r="AA12" s="48">
        <f t="shared" si="0"/>
        <v>13.859614151254096</v>
      </c>
      <c r="AB12" s="74">
        <f t="shared" si="0"/>
        <v>12.184154338584252</v>
      </c>
      <c r="AC12" s="74">
        <f t="shared" si="0"/>
        <v>13.237696367050537</v>
      </c>
      <c r="AD12" s="74">
        <f t="shared" si="0"/>
        <v>13.108784229132965</v>
      </c>
      <c r="AE12" s="74">
        <f t="shared" si="0"/>
        <v>8.531869272874404</v>
      </c>
      <c r="AF12" s="74">
        <f t="shared" si="0"/>
        <v>15.787492350429925</v>
      </c>
      <c r="AG12" s="74">
        <f t="shared" si="0"/>
        <v>8.68192872029024</v>
      </c>
      <c r="AH12" s="74">
        <f t="shared" si="0"/>
        <v>11.117360284509784</v>
      </c>
      <c r="AI12" s="74">
        <f t="shared" si="0"/>
        <v>8.08538304120361</v>
      </c>
      <c r="AJ12" s="74">
        <f t="shared" si="0"/>
        <v>4.135578440831782</v>
      </c>
      <c r="AK12" s="74">
        <f t="shared" si="0"/>
        <v>7.260348001110274</v>
      </c>
      <c r="AL12" s="74">
        <f t="shared" si="0"/>
        <v>1.7761216416710126</v>
      </c>
      <c r="AM12" s="92">
        <f t="shared" si="0"/>
        <v>7.3366532230428305</v>
      </c>
      <c r="AN12" s="75">
        <f>100*(EXP(LN(T12/B12)/18)-1)</f>
        <v>10.193775141614548</v>
      </c>
      <c r="AO12" s="24"/>
      <c r="AP12" s="24"/>
      <c r="AQ12" s="24"/>
      <c r="AR12" s="24"/>
      <c r="AS12" s="24"/>
      <c r="AT12" s="24"/>
    </row>
    <row r="13" spans="1:40" ht="7.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98"/>
      <c r="V13" s="49"/>
      <c r="W13" s="49"/>
      <c r="X13" s="49"/>
      <c r="Y13" s="49"/>
      <c r="Z13" s="49"/>
      <c r="AA13" s="49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91"/>
      <c r="AN13" s="76"/>
    </row>
    <row r="14" spans="1:40" ht="17.25" customHeight="1">
      <c r="A14" s="53" t="s">
        <v>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100"/>
      <c r="V14" s="49"/>
      <c r="W14" s="49"/>
      <c r="X14" s="49"/>
      <c r="Y14" s="49"/>
      <c r="Z14" s="49"/>
      <c r="AA14" s="49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91"/>
      <c r="AN14" s="76"/>
    </row>
    <row r="15" spans="1:45" ht="15.75" customHeight="1">
      <c r="A15" s="55" t="s">
        <v>43</v>
      </c>
      <c r="B15" s="56">
        <v>414.75832235907114</v>
      </c>
      <c r="C15" s="56">
        <v>460.9536591806219</v>
      </c>
      <c r="D15" s="56">
        <v>514.1331678364136</v>
      </c>
      <c r="E15" s="56">
        <v>580.4651405294219</v>
      </c>
      <c r="F15" s="56">
        <v>719.655</v>
      </c>
      <c r="G15" s="56">
        <v>814.7439999999999</v>
      </c>
      <c r="H15" s="56">
        <v>941.632</v>
      </c>
      <c r="I15" s="56">
        <v>1070.508</v>
      </c>
      <c r="J15" s="56">
        <v>1223.4340000000002</v>
      </c>
      <c r="K15" s="56">
        <v>1397.404</v>
      </c>
      <c r="L15" s="56">
        <v>1521.7869999999998</v>
      </c>
      <c r="M15" s="56">
        <v>1772.239</v>
      </c>
      <c r="N15" s="56">
        <v>1936.89</v>
      </c>
      <c r="O15" s="56">
        <v>2076.932</v>
      </c>
      <c r="P15" s="56">
        <v>2248.634</v>
      </c>
      <c r="Q15" s="56">
        <v>2346.8230000000003</v>
      </c>
      <c r="R15" s="56">
        <v>2538.92</v>
      </c>
      <c r="S15" s="56">
        <v>2592.48</v>
      </c>
      <c r="T15" s="99">
        <v>2801.681</v>
      </c>
      <c r="U15" s="23"/>
      <c r="V15" s="48">
        <f aca="true" t="shared" si="1" ref="V15:V24">100*(C15-B15)/B15</f>
        <v>11.13789267899435</v>
      </c>
      <c r="W15" s="48">
        <f aca="true" t="shared" si="2" ref="W15:AM15">100*(D15-C15)/C15</f>
        <v>11.536844885952755</v>
      </c>
      <c r="X15" s="48">
        <f t="shared" si="2"/>
        <v>12.90171045998607</v>
      </c>
      <c r="Y15" s="48">
        <f t="shared" si="2"/>
        <v>23.97902126278038</v>
      </c>
      <c r="Z15" s="48">
        <f t="shared" si="2"/>
        <v>13.213136850296316</v>
      </c>
      <c r="AA15" s="48">
        <f t="shared" si="2"/>
        <v>15.573971701540613</v>
      </c>
      <c r="AB15" s="74">
        <f t="shared" si="2"/>
        <v>13.686450757833219</v>
      </c>
      <c r="AC15" s="74">
        <f t="shared" si="2"/>
        <v>14.285367320935496</v>
      </c>
      <c r="AD15" s="74">
        <f t="shared" si="2"/>
        <v>14.219810794861003</v>
      </c>
      <c r="AE15" s="74">
        <f t="shared" si="2"/>
        <v>8.901005006426189</v>
      </c>
      <c r="AF15" s="74">
        <f t="shared" si="2"/>
        <v>16.457756571714718</v>
      </c>
      <c r="AG15" s="74">
        <f t="shared" si="2"/>
        <v>9.290564083061035</v>
      </c>
      <c r="AH15" s="74">
        <f t="shared" si="2"/>
        <v>7.230250556304162</v>
      </c>
      <c r="AI15" s="74">
        <f t="shared" si="2"/>
        <v>8.267097815431619</v>
      </c>
      <c r="AJ15" s="74">
        <f t="shared" si="2"/>
        <v>4.366606570922627</v>
      </c>
      <c r="AK15" s="74">
        <f t="shared" si="2"/>
        <v>8.185406398352143</v>
      </c>
      <c r="AL15" s="74">
        <f t="shared" si="2"/>
        <v>2.1095583949080687</v>
      </c>
      <c r="AM15" s="92">
        <f t="shared" si="2"/>
        <v>8.069531876812936</v>
      </c>
      <c r="AN15" s="75">
        <f>100*(EXP(LN(T15/B15)/18)-1)</f>
        <v>11.19626469052255</v>
      </c>
      <c r="AO15" s="24"/>
      <c r="AP15" s="24"/>
      <c r="AQ15" s="24"/>
      <c r="AR15" s="24"/>
      <c r="AS15" s="24"/>
    </row>
    <row r="16" spans="1:45" ht="17.25" customHeight="1">
      <c r="A16" s="53" t="s">
        <v>59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100"/>
      <c r="U16" s="25"/>
      <c r="V16" s="50"/>
      <c r="W16" s="50"/>
      <c r="X16" s="50"/>
      <c r="Y16" s="50"/>
      <c r="Z16" s="50"/>
      <c r="AA16" s="50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93"/>
      <c r="AN16" s="76"/>
      <c r="AO16" s="24"/>
      <c r="AP16" s="24"/>
      <c r="AQ16" s="24"/>
      <c r="AR16" s="24"/>
      <c r="AS16" s="24"/>
    </row>
    <row r="17" spans="1:45" ht="17.25" customHeight="1">
      <c r="A17" s="53" t="s">
        <v>69</v>
      </c>
      <c r="B17" s="57">
        <f>(292.335+150.854+0.093)/5.94573</f>
        <v>74.55468041771152</v>
      </c>
      <c r="C17" s="57">
        <f>(338.779+194.687+0.108)/5.94573</f>
        <v>89.74070467377427</v>
      </c>
      <c r="D17" s="57">
        <f>(381.326+0.096+219.289)/5.94573</f>
        <v>101.03233749262075</v>
      </c>
      <c r="E17" s="57">
        <f>(447.124+0.007+271.244)/5.94573</f>
        <v>120.82200167178799</v>
      </c>
      <c r="F17" s="57">
        <f>102.689+0.013+47.916</f>
        <v>150.618</v>
      </c>
      <c r="G17" s="57">
        <f>122.821+0.024+49.471</f>
        <v>172.316</v>
      </c>
      <c r="H17" s="57">
        <f>146.407+0.053+54.773</f>
        <v>201.233</v>
      </c>
      <c r="I17" s="57">
        <f>177.907+0.038+54.849</f>
        <v>232.794</v>
      </c>
      <c r="J17" s="57">
        <f>209.304+2.636+58.322+1.048</f>
        <v>271.31</v>
      </c>
      <c r="K17" s="57">
        <f>268.692+4.133+33.615+0.424</f>
        <v>306.864</v>
      </c>
      <c r="L17" s="57">
        <f>296.916+32.764+9.211+1.127</f>
        <v>340.01800000000003</v>
      </c>
      <c r="M17" s="57">
        <f>335.646+37.956+13.48+1.058</f>
        <v>388.14000000000004</v>
      </c>
      <c r="N17" s="57">
        <f>366.362+45.542</f>
        <v>411.904</v>
      </c>
      <c r="O17" s="57">
        <f>338.35+50.09+31.417+4.277</f>
        <v>424.13400000000007</v>
      </c>
      <c r="P17" s="57">
        <f>400.842+57.264</f>
        <v>458.106</v>
      </c>
      <c r="Q17" s="57">
        <v>488.228</v>
      </c>
      <c r="R17" s="57">
        <f>401.192+67.084+30.235+6.47</f>
        <v>504.98100000000005</v>
      </c>
      <c r="S17" s="57">
        <f>431.64+75.319</f>
        <v>506.959</v>
      </c>
      <c r="T17" s="100">
        <v>526.958</v>
      </c>
      <c r="U17" s="25"/>
      <c r="V17" s="50">
        <f t="shared" si="1"/>
        <v>20.368975054254403</v>
      </c>
      <c r="W17" s="50">
        <f aca="true" t="shared" si="3" ref="W17:AM17">100*(D17-C17)/C17</f>
        <v>12.58250964252383</v>
      </c>
      <c r="X17" s="50">
        <f t="shared" si="3"/>
        <v>19.58745553186141</v>
      </c>
      <c r="Y17" s="50">
        <f t="shared" si="3"/>
        <v>24.66106993422655</v>
      </c>
      <c r="Z17" s="50">
        <f t="shared" si="3"/>
        <v>14.405980692878678</v>
      </c>
      <c r="AA17" s="50">
        <f t="shared" si="3"/>
        <v>16.78137839782725</v>
      </c>
      <c r="AB17" s="77">
        <f t="shared" si="3"/>
        <v>15.683809315569517</v>
      </c>
      <c r="AC17" s="77">
        <f t="shared" si="3"/>
        <v>16.54509995962095</v>
      </c>
      <c r="AD17" s="77">
        <f t="shared" si="3"/>
        <v>13.104566731782821</v>
      </c>
      <c r="AE17" s="77">
        <f t="shared" si="3"/>
        <v>10.804134730695049</v>
      </c>
      <c r="AF17" s="77">
        <f t="shared" si="3"/>
        <v>14.1527801469334</v>
      </c>
      <c r="AG17" s="77">
        <f t="shared" si="3"/>
        <v>6.122533106611003</v>
      </c>
      <c r="AH17" s="77">
        <f t="shared" si="3"/>
        <v>2.9691384400248784</v>
      </c>
      <c r="AI17" s="77">
        <f t="shared" si="3"/>
        <v>8.009732773133</v>
      </c>
      <c r="AJ17" s="77">
        <f t="shared" si="3"/>
        <v>6.5753340929828505</v>
      </c>
      <c r="AK17" s="77">
        <f t="shared" si="3"/>
        <v>3.4313886135166443</v>
      </c>
      <c r="AL17" s="77">
        <f t="shared" si="3"/>
        <v>0.3916979054657406</v>
      </c>
      <c r="AM17" s="93">
        <f t="shared" si="3"/>
        <v>3.9448949520572603</v>
      </c>
      <c r="AN17" s="76">
        <f aca="true" t="shared" si="4" ref="AN17:AN24">100*(EXP(LN(T17/B17)/18)-1)</f>
        <v>11.47651771774376</v>
      </c>
      <c r="AO17" s="24"/>
      <c r="AP17" s="24"/>
      <c r="AQ17" s="24"/>
      <c r="AR17" s="24"/>
      <c r="AS17" s="24"/>
    </row>
    <row r="18" spans="1:45" ht="17.25" customHeight="1">
      <c r="A18" s="53" t="s">
        <v>88</v>
      </c>
      <c r="B18" s="57">
        <v>53.8525967374906</v>
      </c>
      <c r="C18" s="57">
        <v>52.09637840937951</v>
      </c>
      <c r="D18" s="57">
        <v>56.324454692695426</v>
      </c>
      <c r="E18" s="57">
        <v>59.574686371564134</v>
      </c>
      <c r="F18" s="57">
        <v>65.56400000000001</v>
      </c>
      <c r="G18" s="57">
        <v>67.767</v>
      </c>
      <c r="H18" s="57">
        <f>68.346+0.033</f>
        <v>68.379</v>
      </c>
      <c r="I18" s="57">
        <f>84.016+0.051</f>
        <v>84.06700000000001</v>
      </c>
      <c r="J18" s="57">
        <f>87.891+0.035</f>
        <v>87.926</v>
      </c>
      <c r="K18" s="57">
        <f>81.735+0.039</f>
        <v>81.774</v>
      </c>
      <c r="L18" s="57">
        <f>87.214+0.019</f>
        <v>87.233</v>
      </c>
      <c r="M18" s="57">
        <f>92.488+0.018</f>
        <v>92.506</v>
      </c>
      <c r="N18" s="57">
        <v>92.634</v>
      </c>
      <c r="O18" s="57">
        <f>0.123+89.342</f>
        <v>89.465</v>
      </c>
      <c r="P18" s="57">
        <f>77.84</f>
        <v>77.84</v>
      </c>
      <c r="Q18" s="57">
        <v>75.43</v>
      </c>
      <c r="R18" s="57">
        <f>62.972+0.143</f>
        <v>63.115</v>
      </c>
      <c r="S18" s="57">
        <v>59.336</v>
      </c>
      <c r="T18" s="100">
        <v>56.644</v>
      </c>
      <c r="U18" s="25"/>
      <c r="V18" s="50">
        <f t="shared" si="1"/>
        <v>-3.2611581140124692</v>
      </c>
      <c r="W18" s="50">
        <f aca="true" t="shared" si="5" ref="W18:AM24">100*(D18-C18)/C18</f>
        <v>8.115873717921792</v>
      </c>
      <c r="X18" s="50">
        <f t="shared" si="5"/>
        <v>5.770551524381155</v>
      </c>
      <c r="Y18" s="50">
        <f t="shared" si="5"/>
        <v>10.0534538966447</v>
      </c>
      <c r="Z18" s="50">
        <f t="shared" si="5"/>
        <v>3.360075651272022</v>
      </c>
      <c r="AA18" s="50">
        <f t="shared" si="5"/>
        <v>0.9030944264907832</v>
      </c>
      <c r="AB18" s="77">
        <f t="shared" si="5"/>
        <v>22.942716331037307</v>
      </c>
      <c r="AC18" s="77">
        <f t="shared" si="5"/>
        <v>4.590386239547021</v>
      </c>
      <c r="AD18" s="77">
        <f t="shared" si="5"/>
        <v>-6.996792757546118</v>
      </c>
      <c r="AE18" s="77">
        <f t="shared" si="5"/>
        <v>6.6757159977499</v>
      </c>
      <c r="AF18" s="77">
        <f t="shared" si="5"/>
        <v>6.044730778489787</v>
      </c>
      <c r="AG18" s="77">
        <f t="shared" si="5"/>
        <v>0.13836940306574722</v>
      </c>
      <c r="AH18" s="77">
        <f t="shared" si="5"/>
        <v>-3.420990133212424</v>
      </c>
      <c r="AI18" s="77">
        <f t="shared" si="5"/>
        <v>-12.993908232269602</v>
      </c>
      <c r="AJ18" s="77">
        <f t="shared" si="5"/>
        <v>-3.0960945529290806</v>
      </c>
      <c r="AK18" s="77">
        <f t="shared" si="5"/>
        <v>-16.32639533342172</v>
      </c>
      <c r="AL18" s="77">
        <f t="shared" si="5"/>
        <v>-5.9874831656500085</v>
      </c>
      <c r="AM18" s="93">
        <f t="shared" si="5"/>
        <v>-4.536874747202374</v>
      </c>
      <c r="AN18" s="76">
        <f t="shared" si="4"/>
        <v>0.2811469468281924</v>
      </c>
      <c r="AO18" s="24"/>
      <c r="AP18" s="24"/>
      <c r="AQ18" s="24"/>
      <c r="AR18" s="24"/>
      <c r="AS18" s="24"/>
    </row>
    <row r="19" spans="1:45" ht="17.25" customHeight="1">
      <c r="A19" s="53" t="s">
        <v>89</v>
      </c>
      <c r="B19" s="57">
        <f>104.525/5.94573</f>
        <v>17.579843013389443</v>
      </c>
      <c r="C19" s="57">
        <f>122.666/5.94573</f>
        <v>20.63094018732771</v>
      </c>
      <c r="D19" s="57">
        <f>128.74/5.94573</f>
        <v>21.65251365265493</v>
      </c>
      <c r="E19" s="57">
        <f>146.318/5.94573</f>
        <v>24.60892102399537</v>
      </c>
      <c r="F19" s="57">
        <v>30.286</v>
      </c>
      <c r="G19" s="57">
        <v>32.442</v>
      </c>
      <c r="H19" s="57">
        <v>33.31</v>
      </c>
      <c r="I19" s="57">
        <f>35.365</f>
        <v>35.365</v>
      </c>
      <c r="J19" s="57">
        <f>33.393+2.01</f>
        <v>35.403</v>
      </c>
      <c r="K19" s="57">
        <f>35.605+0.277</f>
        <v>35.882</v>
      </c>
      <c r="L19" s="57">
        <f>0.769+33.431</f>
        <v>34.199999999999996</v>
      </c>
      <c r="M19" s="57">
        <f>38.599+1.251</f>
        <v>39.849999999999994</v>
      </c>
      <c r="N19" s="57">
        <v>37.874</v>
      </c>
      <c r="O19" s="57">
        <f>38.901+3.023</f>
        <v>41.92400000000001</v>
      </c>
      <c r="P19" s="57">
        <v>42.191</v>
      </c>
      <c r="Q19" s="57">
        <v>42.358</v>
      </c>
      <c r="R19" s="57">
        <f>40.688+3.381</f>
        <v>44.069</v>
      </c>
      <c r="S19" s="57">
        <f>40.688+3.381</f>
        <v>44.069</v>
      </c>
      <c r="T19" s="100">
        <v>66.877</v>
      </c>
      <c r="U19" s="25"/>
      <c r="V19" s="50">
        <f t="shared" si="1"/>
        <v>17.355656541497222</v>
      </c>
      <c r="W19" s="50">
        <f t="shared" si="5"/>
        <v>4.9516573459638575</v>
      </c>
      <c r="X19" s="50">
        <f t="shared" si="5"/>
        <v>13.653876029206147</v>
      </c>
      <c r="Y19" s="50">
        <f t="shared" si="5"/>
        <v>23.069190926611903</v>
      </c>
      <c r="Z19" s="50">
        <f t="shared" si="5"/>
        <v>7.118800766030505</v>
      </c>
      <c r="AA19" s="50">
        <f t="shared" si="5"/>
        <v>2.675544047839227</v>
      </c>
      <c r="AB19" s="77">
        <f t="shared" si="5"/>
        <v>6.169318522966075</v>
      </c>
      <c r="AC19" s="77">
        <f t="shared" si="5"/>
        <v>0.10745086950373732</v>
      </c>
      <c r="AD19" s="77">
        <f t="shared" si="5"/>
        <v>1.352992684235797</v>
      </c>
      <c r="AE19" s="77">
        <f t="shared" si="5"/>
        <v>-4.687587091020574</v>
      </c>
      <c r="AF19" s="77">
        <f t="shared" si="5"/>
        <v>16.520467836257307</v>
      </c>
      <c r="AG19" s="77">
        <f t="shared" si="5"/>
        <v>-4.958594730238374</v>
      </c>
      <c r="AH19" s="77">
        <f t="shared" si="5"/>
        <v>10.693351639647263</v>
      </c>
      <c r="AI19" s="77">
        <f t="shared" si="5"/>
        <v>0.6368667111916704</v>
      </c>
      <c r="AJ19" s="77">
        <f t="shared" si="5"/>
        <v>0.39581901353367893</v>
      </c>
      <c r="AK19" s="77">
        <f t="shared" si="5"/>
        <v>4.039378629774791</v>
      </c>
      <c r="AL19" s="77">
        <f t="shared" si="5"/>
        <v>0</v>
      </c>
      <c r="AM19" s="93">
        <f t="shared" si="5"/>
        <v>51.75520206948193</v>
      </c>
      <c r="AN19" s="76">
        <f t="shared" si="4"/>
        <v>7.7052234677608356</v>
      </c>
      <c r="AO19" s="24"/>
      <c r="AP19" s="24"/>
      <c r="AQ19" s="24"/>
      <c r="AR19" s="24"/>
      <c r="AS19" s="24"/>
    </row>
    <row r="20" spans="1:45" ht="17.25" customHeight="1">
      <c r="A20" s="53" t="s">
        <v>91</v>
      </c>
      <c r="B20" s="57">
        <v>118.84966185817385</v>
      </c>
      <c r="C20" s="57">
        <v>144.50319809342164</v>
      </c>
      <c r="D20" s="57">
        <v>171.0747040312964</v>
      </c>
      <c r="E20" s="57">
        <v>197.92422461161203</v>
      </c>
      <c r="F20" s="57">
        <v>239.6</v>
      </c>
      <c r="G20" s="57">
        <v>270.02</v>
      </c>
      <c r="H20" s="57">
        <f>323.936+2.591</f>
        <v>326.527</v>
      </c>
      <c r="I20" s="57">
        <f>362.347+3.053</f>
        <v>365.4</v>
      </c>
      <c r="J20" s="57">
        <f>404.251+10.356</f>
        <v>414.60699999999997</v>
      </c>
      <c r="K20" s="57">
        <f>482.761+19.051</f>
        <v>501.812</v>
      </c>
      <c r="L20" s="57">
        <f>29.63+531.535</f>
        <v>561.165</v>
      </c>
      <c r="M20" s="57">
        <f>614.91+41.948</f>
        <v>656.858</v>
      </c>
      <c r="N20" s="57">
        <v>737.992</v>
      </c>
      <c r="O20" s="57">
        <f>85.544+706.85</f>
        <v>792.394</v>
      </c>
      <c r="P20" s="57">
        <v>883.719</v>
      </c>
      <c r="Q20" s="57">
        <v>958.154</v>
      </c>
      <c r="R20" s="57">
        <f>962.468+95.814</f>
        <v>1058.282</v>
      </c>
      <c r="S20" s="57">
        <v>1123.586</v>
      </c>
      <c r="T20" s="100">
        <v>1258.951</v>
      </c>
      <c r="U20" s="25"/>
      <c r="V20" s="50">
        <f t="shared" si="1"/>
        <v>21.58486261901256</v>
      </c>
      <c r="W20" s="50">
        <f t="shared" si="5"/>
        <v>18.388178454497737</v>
      </c>
      <c r="X20" s="50">
        <f t="shared" si="5"/>
        <v>15.694617583791809</v>
      </c>
      <c r="Y20" s="50">
        <f t="shared" si="5"/>
        <v>21.056429787798137</v>
      </c>
      <c r="Z20" s="50">
        <f t="shared" si="5"/>
        <v>12.696160267111848</v>
      </c>
      <c r="AA20" s="50">
        <f t="shared" si="5"/>
        <v>20.926968372713137</v>
      </c>
      <c r="AB20" s="77">
        <f t="shared" si="5"/>
        <v>11.904987948929183</v>
      </c>
      <c r="AC20" s="77">
        <f t="shared" si="5"/>
        <v>13.46661193212917</v>
      </c>
      <c r="AD20" s="77">
        <f t="shared" si="5"/>
        <v>21.033171171736136</v>
      </c>
      <c r="AE20" s="77">
        <f t="shared" si="5"/>
        <v>11.827736283707834</v>
      </c>
      <c r="AF20" s="77">
        <f t="shared" si="5"/>
        <v>17.052560298664385</v>
      </c>
      <c r="AG20" s="77">
        <f t="shared" si="5"/>
        <v>12.351832511745313</v>
      </c>
      <c r="AH20" s="77">
        <f t="shared" si="5"/>
        <v>7.371624624657184</v>
      </c>
      <c r="AI20" s="77">
        <f t="shared" si="5"/>
        <v>11.525200847053364</v>
      </c>
      <c r="AJ20" s="77">
        <f t="shared" si="5"/>
        <v>8.422926292181105</v>
      </c>
      <c r="AK20" s="77">
        <f t="shared" si="5"/>
        <v>10.450094661192242</v>
      </c>
      <c r="AL20" s="77">
        <f t="shared" si="5"/>
        <v>6.170755998873655</v>
      </c>
      <c r="AM20" s="93">
        <f t="shared" si="5"/>
        <v>12.047586922585365</v>
      </c>
      <c r="AN20" s="76">
        <f t="shared" si="4"/>
        <v>14.010552084537276</v>
      </c>
      <c r="AO20" s="24"/>
      <c r="AP20" s="24"/>
      <c r="AQ20" s="24"/>
      <c r="AR20" s="24"/>
      <c r="AS20" s="24"/>
    </row>
    <row r="21" spans="1:45" ht="17.25" customHeight="1">
      <c r="A21" s="53" t="s">
        <v>60</v>
      </c>
      <c r="B21" s="57">
        <f>(0.118+142.785+0.877)/5.94573</f>
        <v>24.182060066636055</v>
      </c>
      <c r="C21" s="57">
        <f>(149.796+0.131+0.066)/5.94573</f>
        <v>25.227011653741425</v>
      </c>
      <c r="D21" s="57">
        <f>(0.077+162.677)/5.94573</f>
        <v>27.373257783316763</v>
      </c>
      <c r="E21" s="57">
        <f>(188.694+0.293)/5.94573</f>
        <v>31.785331658181583</v>
      </c>
      <c r="F21" s="57">
        <f>0.038+38.068</f>
        <v>38.105999999999995</v>
      </c>
      <c r="G21" s="57">
        <f>44.645+0.124</f>
        <v>44.769000000000005</v>
      </c>
      <c r="H21" s="57">
        <f>49.957+0.039</f>
        <v>49.996</v>
      </c>
      <c r="I21" s="57">
        <f>55.582+0.015</f>
        <v>55.597</v>
      </c>
      <c r="J21" s="57">
        <f>0.382+56.134</f>
        <v>56.516</v>
      </c>
      <c r="K21" s="57">
        <f>63.749+0.412</f>
        <v>64.161</v>
      </c>
      <c r="L21" s="57">
        <f>68.162+0.88</f>
        <v>69.042</v>
      </c>
      <c r="M21" s="57">
        <f>75.143+1.451</f>
        <v>76.594</v>
      </c>
      <c r="N21" s="57">
        <v>75.183</v>
      </c>
      <c r="O21" s="57">
        <f>66.872+4.646</f>
        <v>71.518</v>
      </c>
      <c r="P21" s="57">
        <v>73.499</v>
      </c>
      <c r="Q21" s="57">
        <v>78.425</v>
      </c>
      <c r="R21" s="57">
        <f>78.957+4.01</f>
        <v>82.967</v>
      </c>
      <c r="S21" s="57">
        <v>87.334</v>
      </c>
      <c r="T21" s="100">
        <v>91.098</v>
      </c>
      <c r="U21" s="25"/>
      <c r="V21" s="50">
        <f t="shared" si="1"/>
        <v>4.321185143969962</v>
      </c>
      <c r="W21" s="50">
        <f t="shared" si="5"/>
        <v>8.507730360750154</v>
      </c>
      <c r="X21" s="50">
        <f t="shared" si="5"/>
        <v>16.118190643547937</v>
      </c>
      <c r="Y21" s="50">
        <f t="shared" si="5"/>
        <v>19.885488091773503</v>
      </c>
      <c r="Z21" s="50">
        <f t="shared" si="5"/>
        <v>17.485435364509556</v>
      </c>
      <c r="AA21" s="50">
        <f t="shared" si="5"/>
        <v>11.675489736201381</v>
      </c>
      <c r="AB21" s="77">
        <f t="shared" si="5"/>
        <v>11.202896231698533</v>
      </c>
      <c r="AC21" s="77">
        <f t="shared" si="5"/>
        <v>1.6529668867025145</v>
      </c>
      <c r="AD21" s="77">
        <f t="shared" si="5"/>
        <v>13.527142756033696</v>
      </c>
      <c r="AE21" s="77">
        <f t="shared" si="5"/>
        <v>7.6074250713049985</v>
      </c>
      <c r="AF21" s="77">
        <f t="shared" si="5"/>
        <v>10.938269459169769</v>
      </c>
      <c r="AG21" s="77">
        <f t="shared" si="5"/>
        <v>-1.8421808496748926</v>
      </c>
      <c r="AH21" s="77">
        <f t="shared" si="5"/>
        <v>-4.874772222443911</v>
      </c>
      <c r="AI21" s="77">
        <f t="shared" si="5"/>
        <v>2.769932045079553</v>
      </c>
      <c r="AJ21" s="77">
        <f t="shared" si="5"/>
        <v>6.702132001795946</v>
      </c>
      <c r="AK21" s="77">
        <f t="shared" si="5"/>
        <v>5.791520561045587</v>
      </c>
      <c r="AL21" s="77">
        <f t="shared" si="5"/>
        <v>5.263538515313323</v>
      </c>
      <c r="AM21" s="93">
        <f t="shared" si="5"/>
        <v>4.309890764192635</v>
      </c>
      <c r="AN21" s="76">
        <f t="shared" si="4"/>
        <v>7.646735447456021</v>
      </c>
      <c r="AO21" s="24"/>
      <c r="AP21" s="24"/>
      <c r="AQ21" s="24"/>
      <c r="AR21" s="24"/>
      <c r="AS21" s="24"/>
    </row>
    <row r="22" spans="1:45" ht="17.25" customHeight="1">
      <c r="A22" s="53" t="s">
        <v>61</v>
      </c>
      <c r="B22" s="57">
        <v>35.54096805606713</v>
      </c>
      <c r="C22" s="57">
        <v>37.90367204699843</v>
      </c>
      <c r="D22" s="57">
        <v>40.66565417534937</v>
      </c>
      <c r="E22" s="57">
        <v>41.071828017753916</v>
      </c>
      <c r="F22" s="57">
        <v>57.74700000000001</v>
      </c>
      <c r="G22" s="57">
        <v>66.359</v>
      </c>
      <c r="H22" s="57">
        <f>11.126+0.555+63.43+7.554</f>
        <v>82.665</v>
      </c>
      <c r="I22" s="57">
        <f>74.036+7.777+13.343+0.82</f>
        <v>95.976</v>
      </c>
      <c r="J22" s="57">
        <f>87.423+11.937+16.403+1.334</f>
        <v>117.09700000000001</v>
      </c>
      <c r="K22" s="57">
        <f>74.882+14.506+19.227+17.506+1.916+1.176</f>
        <v>129.213</v>
      </c>
      <c r="L22" s="57">
        <f>84.484+16.45+21.589+17.428+1.779+1.136</f>
        <v>142.86599999999999</v>
      </c>
      <c r="M22" s="57">
        <f>96.081+23.873+29.837+26.007+2.614+1.803</f>
        <v>180.215</v>
      </c>
      <c r="N22" s="57">
        <f>136.223+35.154+36.924</f>
        <v>208.30100000000002</v>
      </c>
      <c r="O22" s="57">
        <f>122.346+30.377+43.31+20.213+3.279+1.451</f>
        <v>220.976</v>
      </c>
      <c r="P22" s="57">
        <f>150.336+35.83+44.03</f>
        <v>230.196</v>
      </c>
      <c r="Q22" s="57">
        <v>219.487</v>
      </c>
      <c r="R22" s="57">
        <f>137.25+16.465+32.681+43.68+3.362+0.713</f>
        <v>234.151</v>
      </c>
      <c r="S22" s="57">
        <f>150.929+38.275+34.145</f>
        <v>223.34900000000002</v>
      </c>
      <c r="T22" s="100">
        <v>220.522</v>
      </c>
      <c r="U22" s="25"/>
      <c r="V22" s="50">
        <f t="shared" si="1"/>
        <v>6.647832403450724</v>
      </c>
      <c r="W22" s="50">
        <f t="shared" si="5"/>
        <v>7.286845783506763</v>
      </c>
      <c r="X22" s="50">
        <f t="shared" si="5"/>
        <v>0.9988130048348328</v>
      </c>
      <c r="Y22" s="50">
        <f t="shared" si="5"/>
        <v>40.60002387777334</v>
      </c>
      <c r="Z22" s="50">
        <f t="shared" si="5"/>
        <v>14.913328830934917</v>
      </c>
      <c r="AA22" s="50">
        <f t="shared" si="5"/>
        <v>24.572401633538803</v>
      </c>
      <c r="AB22" s="77">
        <f t="shared" si="5"/>
        <v>16.102340772999444</v>
      </c>
      <c r="AC22" s="77">
        <f t="shared" si="5"/>
        <v>22.006543302492297</v>
      </c>
      <c r="AD22" s="77">
        <f t="shared" si="5"/>
        <v>10.346977292330276</v>
      </c>
      <c r="AE22" s="77">
        <f t="shared" si="5"/>
        <v>10.566274291286476</v>
      </c>
      <c r="AF22" s="77">
        <f t="shared" si="5"/>
        <v>26.142679153892473</v>
      </c>
      <c r="AG22" s="77">
        <f t="shared" si="5"/>
        <v>15.584718253197577</v>
      </c>
      <c r="AH22" s="77">
        <f t="shared" si="5"/>
        <v>6.084944383368289</v>
      </c>
      <c r="AI22" s="77">
        <f t="shared" si="5"/>
        <v>4.172398812540728</v>
      </c>
      <c r="AJ22" s="77">
        <f t="shared" si="5"/>
        <v>-4.652122539053678</v>
      </c>
      <c r="AK22" s="77">
        <f t="shared" si="5"/>
        <v>6.681033500845159</v>
      </c>
      <c r="AL22" s="77">
        <f t="shared" si="5"/>
        <v>-4.613262381967189</v>
      </c>
      <c r="AM22" s="93">
        <f t="shared" si="5"/>
        <v>-1.265732105359785</v>
      </c>
      <c r="AN22" s="76">
        <f t="shared" si="4"/>
        <v>10.672609045928416</v>
      </c>
      <c r="AO22" s="24"/>
      <c r="AP22" s="24"/>
      <c r="AQ22" s="24"/>
      <c r="AR22" s="24"/>
      <c r="AS22" s="24"/>
    </row>
    <row r="23" spans="1:45" ht="17.25" customHeight="1">
      <c r="A23" s="53" t="s">
        <v>62</v>
      </c>
      <c r="B23" s="57">
        <v>49.685740859406664</v>
      </c>
      <c r="C23" s="57">
        <v>56.48473778661325</v>
      </c>
      <c r="D23" s="57">
        <v>59.06507695438575</v>
      </c>
      <c r="E23" s="57">
        <v>59.82276356309486</v>
      </c>
      <c r="F23" s="57">
        <v>83.497</v>
      </c>
      <c r="G23" s="57">
        <v>95.573</v>
      </c>
      <c r="H23" s="57">
        <f>39.988+65.28</f>
        <v>105.268</v>
      </c>
      <c r="I23" s="57">
        <f>40.05+75.308</f>
        <v>115.358</v>
      </c>
      <c r="J23" s="57">
        <f>38.637+94.702</f>
        <v>133.339</v>
      </c>
      <c r="K23" s="57">
        <f>47.008+103.986</f>
        <v>150.994</v>
      </c>
      <c r="L23" s="57">
        <f>98.498+38.509</f>
        <v>137.007</v>
      </c>
      <c r="M23" s="57">
        <f>48.343+114.672</f>
        <v>163.015</v>
      </c>
      <c r="N23" s="57">
        <v>162.655</v>
      </c>
      <c r="O23" s="57">
        <f>53.174+167.085</f>
        <v>220.25900000000001</v>
      </c>
      <c r="P23" s="57">
        <v>244.059</v>
      </c>
      <c r="Q23" s="57">
        <v>234.212</v>
      </c>
      <c r="R23" s="57">
        <f>108.844+175.654</f>
        <v>284.498</v>
      </c>
      <c r="S23" s="57">
        <v>260.207</v>
      </c>
      <c r="T23" s="100">
        <v>295.868</v>
      </c>
      <c r="U23" s="25"/>
      <c r="V23" s="50">
        <f t="shared" si="1"/>
        <v>13.684000297883008</v>
      </c>
      <c r="W23" s="50">
        <f t="shared" si="5"/>
        <v>4.5682059771976755</v>
      </c>
      <c r="X23" s="50">
        <f t="shared" si="5"/>
        <v>1.2827996639947614</v>
      </c>
      <c r="Y23" s="50">
        <f t="shared" si="5"/>
        <v>39.57395985549214</v>
      </c>
      <c r="Z23" s="50">
        <f t="shared" si="5"/>
        <v>14.462795070481567</v>
      </c>
      <c r="AA23" s="50">
        <f t="shared" si="5"/>
        <v>10.144078348487552</v>
      </c>
      <c r="AB23" s="77">
        <f t="shared" si="5"/>
        <v>9.585059087281989</v>
      </c>
      <c r="AC23" s="77">
        <f t="shared" si="5"/>
        <v>15.587128764368309</v>
      </c>
      <c r="AD23" s="77">
        <f t="shared" si="5"/>
        <v>13.24068727079099</v>
      </c>
      <c r="AE23" s="77">
        <f t="shared" si="5"/>
        <v>-9.26328198471462</v>
      </c>
      <c r="AF23" s="77">
        <f t="shared" si="5"/>
        <v>18.9829716729802</v>
      </c>
      <c r="AG23" s="77">
        <f t="shared" si="5"/>
        <v>-0.2208385731374323</v>
      </c>
      <c r="AH23" s="77">
        <f t="shared" si="5"/>
        <v>35.414835080384876</v>
      </c>
      <c r="AI23" s="77">
        <f t="shared" si="5"/>
        <v>10.805460843824761</v>
      </c>
      <c r="AJ23" s="77">
        <f t="shared" si="5"/>
        <v>-4.034680138818896</v>
      </c>
      <c r="AK23" s="77">
        <f t="shared" si="5"/>
        <v>21.470291872320807</v>
      </c>
      <c r="AL23" s="77">
        <f t="shared" si="5"/>
        <v>-8.538197105076309</v>
      </c>
      <c r="AM23" s="93">
        <f t="shared" si="5"/>
        <v>13.7048580553175</v>
      </c>
      <c r="AN23" s="76">
        <f t="shared" si="4"/>
        <v>10.420096835890181</v>
      </c>
      <c r="AO23" s="24"/>
      <c r="AP23" s="24"/>
      <c r="AQ23" s="24"/>
      <c r="AR23" s="24"/>
      <c r="AS23" s="24"/>
    </row>
    <row r="24" spans="1:45" ht="17.25" customHeight="1">
      <c r="A24" s="53" t="s">
        <v>72</v>
      </c>
      <c r="B24" s="57">
        <f>B15-SUM(B17:B23)</f>
        <v>40.51277135019592</v>
      </c>
      <c r="C24" s="57" t="e">
        <f>C15-C17-#REF!-C18-C19-C20-C21-C22-C23</f>
        <v>#REF!</v>
      </c>
      <c r="D24" s="57" t="e">
        <f>D15-D17-#REF!-D18-D19-D20-D21-D22-D23</f>
        <v>#REF!</v>
      </c>
      <c r="E24" s="57" t="e">
        <f>E15-E17-#REF!-E18-E19-E20-E21-E22-E23</f>
        <v>#REF!</v>
      </c>
      <c r="F24" s="57" t="e">
        <f>F15-F17-#REF!-F18-F19-F20-F21-F22-F23</f>
        <v>#REF!</v>
      </c>
      <c r="G24" s="57" t="e">
        <f>G15-G17-#REF!-G18-G19-G20-G21-G22-G23</f>
        <v>#REF!</v>
      </c>
      <c r="H24" s="57" t="e">
        <f>H15-H17-#REF!-H18-H19-H20-H21-H22-H23</f>
        <v>#REF!</v>
      </c>
      <c r="I24" s="57" t="e">
        <f>I15-I17-#REF!-I18-I19-I20-I21-I22-I23</f>
        <v>#REF!</v>
      </c>
      <c r="J24" s="57">
        <f aca="true" t="shared" si="6" ref="J24:T24">J15-SUM(J17:J23)</f>
        <v>107.23600000000033</v>
      </c>
      <c r="K24" s="57">
        <f t="shared" si="6"/>
        <v>126.70400000000018</v>
      </c>
      <c r="L24" s="57">
        <f t="shared" si="6"/>
        <v>150.25599999999986</v>
      </c>
      <c r="M24" s="57">
        <f t="shared" si="6"/>
        <v>175.06100000000015</v>
      </c>
      <c r="N24" s="57">
        <f t="shared" si="6"/>
        <v>210.3470000000002</v>
      </c>
      <c r="O24" s="57">
        <f t="shared" si="6"/>
        <v>216.26199999999972</v>
      </c>
      <c r="P24" s="57">
        <f t="shared" si="6"/>
        <v>239.0239999999999</v>
      </c>
      <c r="Q24" s="57">
        <f t="shared" si="6"/>
        <v>250.52900000000045</v>
      </c>
      <c r="R24" s="57">
        <f t="shared" si="6"/>
        <v>266.85699999999997</v>
      </c>
      <c r="S24" s="57">
        <f t="shared" si="6"/>
        <v>287.6400000000003</v>
      </c>
      <c r="T24" s="100">
        <f t="shared" si="6"/>
        <v>284.7630000000004</v>
      </c>
      <c r="U24" s="25"/>
      <c r="V24" s="50" t="e">
        <f t="shared" si="1"/>
        <v>#REF!</v>
      </c>
      <c r="W24" s="50" t="e">
        <f t="shared" si="5"/>
        <v>#REF!</v>
      </c>
      <c r="X24" s="50" t="e">
        <f t="shared" si="5"/>
        <v>#REF!</v>
      </c>
      <c r="Y24" s="50" t="e">
        <f t="shared" si="5"/>
        <v>#REF!</v>
      </c>
      <c r="Z24" s="50" t="e">
        <f t="shared" si="5"/>
        <v>#REF!</v>
      </c>
      <c r="AA24" s="50" t="e">
        <f t="shared" si="5"/>
        <v>#REF!</v>
      </c>
      <c r="AB24" s="77" t="e">
        <f t="shared" si="5"/>
        <v>#REF!</v>
      </c>
      <c r="AC24" s="77" t="e">
        <f t="shared" si="5"/>
        <v>#REF!</v>
      </c>
      <c r="AD24" s="77">
        <f t="shared" si="5"/>
        <v>18.154351150732765</v>
      </c>
      <c r="AE24" s="77">
        <f t="shared" si="5"/>
        <v>18.58820558151254</v>
      </c>
      <c r="AF24" s="77">
        <f t="shared" si="5"/>
        <v>16.50849217335768</v>
      </c>
      <c r="AG24" s="77">
        <f t="shared" si="5"/>
        <v>20.1564026253706</v>
      </c>
      <c r="AH24" s="77">
        <f t="shared" si="5"/>
        <v>2.8120201381524352</v>
      </c>
      <c r="AI24" s="77">
        <f t="shared" si="5"/>
        <v>10.525196289685752</v>
      </c>
      <c r="AJ24" s="77">
        <f t="shared" si="5"/>
        <v>4.813324185019316</v>
      </c>
      <c r="AK24" s="77">
        <f t="shared" si="5"/>
        <v>6.517409162212554</v>
      </c>
      <c r="AL24" s="77">
        <f t="shared" si="5"/>
        <v>7.788066267701563</v>
      </c>
      <c r="AM24" s="93">
        <f t="shared" si="5"/>
        <v>-1.0002085940759107</v>
      </c>
      <c r="AN24" s="76">
        <f t="shared" si="4"/>
        <v>11.442163234114421</v>
      </c>
      <c r="AO24" s="24"/>
      <c r="AP24" s="24"/>
      <c r="AQ24" s="24"/>
      <c r="AR24" s="24"/>
      <c r="AS24" s="24"/>
    </row>
    <row r="25" spans="1:40" ht="13.5" customHeight="1">
      <c r="A25" s="19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100"/>
      <c r="U25" s="26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94"/>
      <c r="AN25" s="52"/>
    </row>
    <row r="26" spans="1:40" s="67" customFormat="1" ht="15.75" customHeight="1">
      <c r="A26" s="55" t="s">
        <v>79</v>
      </c>
      <c r="B26" s="56">
        <v>104.88451376029519</v>
      </c>
      <c r="C26" s="56"/>
      <c r="D26" s="56"/>
      <c r="E26" s="56"/>
      <c r="F26" s="56"/>
      <c r="G26" s="56"/>
      <c r="H26" s="56"/>
      <c r="I26" s="56">
        <v>103.055</v>
      </c>
      <c r="J26" s="56">
        <v>105.089</v>
      </c>
      <c r="K26" s="56">
        <v>104.362</v>
      </c>
      <c r="L26" s="56">
        <v>108.49300000000001</v>
      </c>
      <c r="M26" s="56">
        <v>114.854</v>
      </c>
      <c r="N26" s="56">
        <v>116.531</v>
      </c>
      <c r="O26" s="56">
        <v>204.50400000000002</v>
      </c>
      <c r="P26" s="56">
        <v>217.45300000000003</v>
      </c>
      <c r="Q26" s="56">
        <v>220.781</v>
      </c>
      <c r="R26" s="56">
        <v>216.456</v>
      </c>
      <c r="S26" s="56">
        <v>213.496</v>
      </c>
      <c r="T26" s="99">
        <v>212.787</v>
      </c>
      <c r="U26" s="83"/>
      <c r="V26" s="84"/>
      <c r="W26" s="84"/>
      <c r="X26" s="84"/>
      <c r="Y26" s="84"/>
      <c r="Z26" s="84"/>
      <c r="AA26" s="84"/>
      <c r="AB26" s="74"/>
      <c r="AC26" s="74">
        <f>100*(J26-I26)/I26</f>
        <v>1.9737033622822684</v>
      </c>
      <c r="AD26" s="74">
        <f>100*(K26-J26)/J26</f>
        <v>-0.69179457412289</v>
      </c>
      <c r="AE26" s="74">
        <f>100*(L26-K26)/K26</f>
        <v>3.9583373258465864</v>
      </c>
      <c r="AF26" s="74">
        <f>100*(M26-L26)/L26</f>
        <v>5.863051072419409</v>
      </c>
      <c r="AG26" s="74">
        <f>100*(N26-M26)/M26</f>
        <v>1.4601145802497142</v>
      </c>
      <c r="AH26" s="74">
        <f>100*(O26-N26)/N26</f>
        <v>75.49321639735349</v>
      </c>
      <c r="AI26" s="74">
        <f>100*(P26-O26)/O26</f>
        <v>6.33190548840121</v>
      </c>
      <c r="AJ26" s="74">
        <f>100*(Q26-P26)/P26</f>
        <v>1.5304456595218159</v>
      </c>
      <c r="AK26" s="74">
        <f>100*(R26-Q26)/Q26</f>
        <v>-1.9589548013642555</v>
      </c>
      <c r="AL26" s="74">
        <f>100*(S26-R26)/R26</f>
        <v>-1.3674834608419169</v>
      </c>
      <c r="AM26" s="92">
        <f>100*(T26-S26)/S26</f>
        <v>-0.33209053097013674</v>
      </c>
      <c r="AN26" s="75">
        <f>100*(EXP(LN(T26/B26)/18)-1)</f>
        <v>4.00842984616554</v>
      </c>
    </row>
    <row r="27" spans="1:40" ht="17.25" customHeight="1">
      <c r="A27" s="53" t="s">
        <v>58</v>
      </c>
      <c r="B27" s="57">
        <v>56.443868120483096</v>
      </c>
      <c r="C27" s="57">
        <v>54.61061972205263</v>
      </c>
      <c r="D27" s="57">
        <v>59.67257174476473</v>
      </c>
      <c r="E27" s="57">
        <v>64.83005450970697</v>
      </c>
      <c r="F27" s="57">
        <v>65.892</v>
      </c>
      <c r="G27" s="57">
        <v>63.335</v>
      </c>
      <c r="H27" s="57">
        <f>60.189+5.146</f>
        <v>65.335</v>
      </c>
      <c r="I27" s="57">
        <f>63.034+5.056</f>
        <v>68.09</v>
      </c>
      <c r="J27" s="57">
        <f>63.807+5.379</f>
        <v>69.186</v>
      </c>
      <c r="K27" s="57">
        <f>67.103+4.087+1.632</f>
        <v>72.822</v>
      </c>
      <c r="L27" s="57">
        <f>70.041+4.811+0.884</f>
        <v>75.736</v>
      </c>
      <c r="M27" s="57">
        <f>73.385+5.061+1.213+0.024+0.06</f>
        <v>79.743</v>
      </c>
      <c r="N27" s="57">
        <f>77.432+4.924+0.471</f>
        <v>82.82700000000001</v>
      </c>
      <c r="O27" s="57">
        <f>80.177+4.187+1.019+0.321+0.01+0.005</f>
        <v>85.71900000000001</v>
      </c>
      <c r="P27" s="57">
        <f>82.545+4.275+3.522</f>
        <v>90.34200000000001</v>
      </c>
      <c r="Q27" s="57">
        <v>81.823</v>
      </c>
      <c r="R27" s="57">
        <f>67.849+4.198+2.45+0.05</f>
        <v>74.547</v>
      </c>
      <c r="S27" s="57">
        <f>67.489+3.664+0.45</f>
        <v>71.60300000000001</v>
      </c>
      <c r="T27" s="100">
        <v>71.626</v>
      </c>
      <c r="U27" s="25"/>
      <c r="V27" s="50">
        <f>100*(C27-B27)/B27</f>
        <v>-3.2479141835518353</v>
      </c>
      <c r="W27" s="50">
        <f>100*(D27-C27)/C27</f>
        <v>9.269171542962736</v>
      </c>
      <c r="X27" s="50">
        <f>100*(E27-D27)/D27</f>
        <v>8.642970487349107</v>
      </c>
      <c r="Y27" s="50">
        <f>100*(F27-E27)/E27</f>
        <v>1.6380450368648427</v>
      </c>
      <c r="Z27" s="50">
        <f>100*(G27-F27)/F27</f>
        <v>-3.88059248467188</v>
      </c>
      <c r="AA27" s="50">
        <f>100*(H27-G27)/G27</f>
        <v>3.1578116365358695</v>
      </c>
      <c r="AB27" s="77">
        <f>100*(I27-H27)/H27</f>
        <v>4.216729165072334</v>
      </c>
      <c r="AC27" s="77">
        <f>100*(J27-I27)/I27</f>
        <v>1.6096343075341513</v>
      </c>
      <c r="AD27" s="77">
        <f>100*(K27-J27)/J27</f>
        <v>5.255398491024189</v>
      </c>
      <c r="AE27" s="77">
        <f>100*(L27-K27)/K27</f>
        <v>4.001537996759223</v>
      </c>
      <c r="AF27" s="77">
        <f>100*(M27-L27)/L27</f>
        <v>5.290746804689963</v>
      </c>
      <c r="AG27" s="77">
        <f>100*(N27-M27)/M27</f>
        <v>3.8674240999210183</v>
      </c>
      <c r="AH27" s="77">
        <f>100*(O27-N27)/N27</f>
        <v>3.491615053062402</v>
      </c>
      <c r="AI27" s="77">
        <f>100*(P27-O27)/O27</f>
        <v>5.393203373814445</v>
      </c>
      <c r="AJ27" s="77">
        <f>100*(Q27-P27)/P27</f>
        <v>-9.429722609638947</v>
      </c>
      <c r="AK27" s="77">
        <f>100*(R27-Q27)/Q27</f>
        <v>-8.89236522738105</v>
      </c>
      <c r="AL27" s="77">
        <f>100*(S27-R27)/R27</f>
        <v>-3.9491864193059256</v>
      </c>
      <c r="AM27" s="93">
        <f>100*(T27-S27)/S27</f>
        <v>0.03212155915254407</v>
      </c>
      <c r="AN27" s="76">
        <f>100*(EXP(LN(T27/B27)/18)-1)</f>
        <v>1.3321927504225561</v>
      </c>
    </row>
    <row r="28" spans="1:40" ht="17.25" customHeight="1">
      <c r="A28" s="53" t="s">
        <v>80</v>
      </c>
      <c r="B28" s="57">
        <f>B26-B27</f>
        <v>48.4406456398121</v>
      </c>
      <c r="C28" s="57"/>
      <c r="D28" s="57"/>
      <c r="E28" s="57"/>
      <c r="F28" s="57"/>
      <c r="G28" s="57"/>
      <c r="H28" s="57"/>
      <c r="I28" s="57">
        <f aca="true" t="shared" si="7" ref="I28:R28">I26-I27</f>
        <v>34.965</v>
      </c>
      <c r="J28" s="57">
        <f t="shared" si="7"/>
        <v>35.90299999999999</v>
      </c>
      <c r="K28" s="57">
        <f t="shared" si="7"/>
        <v>31.539999999999992</v>
      </c>
      <c r="L28" s="57">
        <f t="shared" si="7"/>
        <v>32.757000000000005</v>
      </c>
      <c r="M28" s="57">
        <f t="shared" si="7"/>
        <v>35.111000000000004</v>
      </c>
      <c r="N28" s="57">
        <f t="shared" si="7"/>
        <v>33.70399999999999</v>
      </c>
      <c r="O28" s="57">
        <f t="shared" si="7"/>
        <v>118.78500000000001</v>
      </c>
      <c r="P28" s="57">
        <f t="shared" si="7"/>
        <v>127.11100000000002</v>
      </c>
      <c r="Q28" s="57">
        <f t="shared" si="7"/>
        <v>138.95800000000003</v>
      </c>
      <c r="R28" s="57">
        <f t="shared" si="7"/>
        <v>141.909</v>
      </c>
      <c r="S28" s="57">
        <f>S26-S27</f>
        <v>141.893</v>
      </c>
      <c r="T28" s="100">
        <f>T26-T27</f>
        <v>141.161</v>
      </c>
      <c r="U28" s="25"/>
      <c r="V28" s="50"/>
      <c r="W28" s="50"/>
      <c r="X28" s="50"/>
      <c r="Y28" s="50"/>
      <c r="Z28" s="50"/>
      <c r="AA28" s="50"/>
      <c r="AB28" s="77"/>
      <c r="AC28" s="77">
        <f>100*(J28-I28)/I28</f>
        <v>2.6826826826826484</v>
      </c>
      <c r="AD28" s="77">
        <f>100*(K28-J28)/J28</f>
        <v>-12.152187839456314</v>
      </c>
      <c r="AE28" s="77">
        <f>100*(L28-K28)/K28</f>
        <v>3.858592263792052</v>
      </c>
      <c r="AF28" s="77">
        <f>100*(M28-L28)/L28</f>
        <v>7.186250267118475</v>
      </c>
      <c r="AG28" s="77">
        <f>100*(N28-M28)/M28</f>
        <v>-4.007291162313835</v>
      </c>
      <c r="AH28" s="77">
        <f>100*(O28-N28)/N28</f>
        <v>252.43591265131747</v>
      </c>
      <c r="AI28" s="77">
        <f>100*(P28-O28)/O28</f>
        <v>7.009302521362131</v>
      </c>
      <c r="AJ28" s="77">
        <f>100*(Q28-P28)/P28</f>
        <v>9.320200454720682</v>
      </c>
      <c r="AK28" s="77">
        <f>100*(R28-Q28)/Q28</f>
        <v>2.123663265159231</v>
      </c>
      <c r="AL28" s="77">
        <f>100*(S28-R28)/R28</f>
        <v>-0.011274831053697181</v>
      </c>
      <c r="AM28" s="93">
        <f>100*(T28-S28)/S28</f>
        <v>-0.515881685495408</v>
      </c>
      <c r="AN28" s="76">
        <f>100*(EXP(LN(T28/B28)/18)-1)</f>
        <v>6.122096814133293</v>
      </c>
    </row>
    <row r="29" spans="1:40" ht="13.5" customHeight="1">
      <c r="A29" s="19"/>
      <c r="B29" s="26"/>
      <c r="C29" s="26"/>
      <c r="D29" s="26"/>
      <c r="E29" s="26"/>
      <c r="F29" s="26"/>
      <c r="G29" s="26"/>
      <c r="H29" s="26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101"/>
      <c r="U29" s="26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94"/>
      <c r="AN29" s="52"/>
    </row>
    <row r="30" spans="1:40" ht="14.25" customHeight="1">
      <c r="A30" s="29" t="s">
        <v>47</v>
      </c>
      <c r="B30" s="26"/>
      <c r="C30" s="26"/>
      <c r="D30" s="26"/>
      <c r="E30" s="26"/>
      <c r="F30" s="26"/>
      <c r="G30" s="26"/>
      <c r="H30" s="26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101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96"/>
      <c r="AN30" s="27"/>
    </row>
    <row r="31" spans="1:40" ht="14.25" customHeight="1">
      <c r="A31" s="29" t="s">
        <v>90</v>
      </c>
      <c r="B31" s="19"/>
      <c r="C31" s="19"/>
      <c r="D31" s="19"/>
      <c r="E31" s="19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9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96"/>
      <c r="AN31" s="19"/>
    </row>
    <row r="32" ht="14.25" customHeight="1">
      <c r="A32" s="29" t="s">
        <v>92</v>
      </c>
    </row>
    <row r="33" ht="12" customHeight="1">
      <c r="A33" s="29" t="s">
        <v>96</v>
      </c>
    </row>
  </sheetData>
  <sheetProtection/>
  <printOptions/>
  <pageMargins left="0.3937007874015748" right="0.1968503937007874" top="0.7874015748031497" bottom="0.6299212598425197" header="0.5118110236220472" footer="0.4724409448818898"/>
  <pageSetup fitToHeight="1" fitToWidth="1" horizontalDpi="600" verticalDpi="600" orientation="landscape" paperSize="9" scale="94" r:id="rId1"/>
  <headerFooter alignWithMargins="0">
    <oddFooter xml:space="preserve">&amp;R&amp;9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6"/>
  <sheetViews>
    <sheetView zoomScalePageLayoutView="0" workbookViewId="0" topLeftCell="A1">
      <pane xSplit="1" ySplit="10" topLeftCell="B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30" sqref="A30"/>
    </sheetView>
  </sheetViews>
  <sheetFormatPr defaultColWidth="9.140625" defaultRowHeight="12.75"/>
  <cols>
    <col min="1" max="1" width="36.421875" style="5" customWidth="1"/>
    <col min="2" max="2" width="4.7109375" style="5" customWidth="1"/>
    <col min="3" max="9" width="4.7109375" style="5" hidden="1" customWidth="1"/>
    <col min="10" max="16" width="4.7109375" style="5" customWidth="1"/>
    <col min="17" max="19" width="5.57421875" style="5" customWidth="1"/>
    <col min="20" max="20" width="6.28125" style="98" customWidth="1"/>
    <col min="21" max="21" width="2.140625" style="5" customWidth="1"/>
    <col min="22" max="24" width="4.140625" style="4" hidden="1" customWidth="1"/>
    <col min="25" max="27" width="4.28125" style="4" hidden="1" customWidth="1"/>
    <col min="28" max="29" width="5.00390625" style="4" hidden="1" customWidth="1"/>
    <col min="30" max="37" width="5.00390625" style="4" customWidth="1"/>
    <col min="38" max="38" width="5.28125" style="4" customWidth="1"/>
    <col min="39" max="39" width="5.28125" style="107" customWidth="1"/>
    <col min="40" max="16384" width="9.140625" style="5" customWidth="1"/>
  </cols>
  <sheetData>
    <row r="1" ht="14.25" customHeight="1">
      <c r="A1" s="31">
        <v>42683</v>
      </c>
    </row>
    <row r="2" spans="1:21" ht="18.75" customHeight="1">
      <c r="A2" s="15" t="s">
        <v>102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86"/>
      <c r="U2" s="3"/>
    </row>
    <row r="3" spans="1:21" ht="16.5" customHeight="1">
      <c r="A3" s="105" t="s">
        <v>95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86"/>
      <c r="U3" s="3"/>
    </row>
    <row r="4" spans="1:21" ht="16.5" customHeight="1">
      <c r="A4" s="105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86"/>
      <c r="U4" s="3"/>
    </row>
    <row r="5" spans="1:21" ht="15.75" customHeight="1">
      <c r="A5" s="113" t="s">
        <v>36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86"/>
      <c r="U5" s="3"/>
    </row>
    <row r="6" spans="1:21" ht="6.7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86"/>
      <c r="U6" s="3"/>
    </row>
    <row r="7" spans="2:40" ht="15.75" customHeight="1">
      <c r="B7" s="58" t="s">
        <v>33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97"/>
      <c r="U7" s="10"/>
      <c r="W7" s="41"/>
      <c r="X7" s="36"/>
      <c r="Y7" s="43" t="s">
        <v>35</v>
      </c>
      <c r="Z7" s="41"/>
      <c r="AA7" s="41"/>
      <c r="AD7" s="79" t="s">
        <v>35</v>
      </c>
      <c r="AE7" s="80"/>
      <c r="AF7" s="80"/>
      <c r="AG7" s="80"/>
      <c r="AH7" s="80"/>
      <c r="AI7" s="80"/>
      <c r="AJ7" s="80"/>
      <c r="AK7" s="80"/>
      <c r="AL7" s="80"/>
      <c r="AM7" s="108"/>
      <c r="AN7" s="38"/>
    </row>
    <row r="8" spans="2:40" ht="15.75" customHeight="1">
      <c r="B8" s="59">
        <v>1997</v>
      </c>
      <c r="C8" s="59">
        <v>1998</v>
      </c>
      <c r="D8" s="59">
        <v>1999</v>
      </c>
      <c r="E8" s="59">
        <v>2000</v>
      </c>
      <c r="F8" s="59">
        <v>2001</v>
      </c>
      <c r="G8" s="59">
        <v>2002</v>
      </c>
      <c r="H8" s="59">
        <v>2003</v>
      </c>
      <c r="I8" s="59">
        <v>2004</v>
      </c>
      <c r="J8" s="59">
        <v>2005</v>
      </c>
      <c r="K8" s="59">
        <v>2006</v>
      </c>
      <c r="L8" s="59">
        <v>2007</v>
      </c>
      <c r="M8" s="59">
        <v>2008</v>
      </c>
      <c r="N8" s="59">
        <v>2009</v>
      </c>
      <c r="O8" s="59">
        <v>2010</v>
      </c>
      <c r="P8" s="59">
        <v>2011</v>
      </c>
      <c r="Q8" s="59">
        <v>2012</v>
      </c>
      <c r="R8" s="59">
        <v>2013</v>
      </c>
      <c r="S8" s="59">
        <v>2014</v>
      </c>
      <c r="T8" s="106">
        <v>2015</v>
      </c>
      <c r="U8" s="10"/>
      <c r="V8" s="33" t="s">
        <v>28</v>
      </c>
      <c r="W8" s="33" t="s">
        <v>29</v>
      </c>
      <c r="X8" s="33" t="s">
        <v>30</v>
      </c>
      <c r="Y8" s="33" t="s">
        <v>31</v>
      </c>
      <c r="Z8" s="42" t="s">
        <v>32</v>
      </c>
      <c r="AA8" s="42" t="s">
        <v>34</v>
      </c>
      <c r="AB8" s="81" t="s">
        <v>41</v>
      </c>
      <c r="AC8" s="81" t="s">
        <v>44</v>
      </c>
      <c r="AD8" s="81" t="s">
        <v>48</v>
      </c>
      <c r="AE8" s="81" t="s">
        <v>64</v>
      </c>
      <c r="AF8" s="81" t="s">
        <v>66</v>
      </c>
      <c r="AG8" s="81" t="s">
        <v>70</v>
      </c>
      <c r="AH8" s="81" t="s">
        <v>73</v>
      </c>
      <c r="AI8" s="81" t="s">
        <v>75</v>
      </c>
      <c r="AJ8" s="81" t="s">
        <v>77</v>
      </c>
      <c r="AK8" s="81" t="s">
        <v>82</v>
      </c>
      <c r="AL8" s="81" t="s">
        <v>84</v>
      </c>
      <c r="AM8" s="109" t="s">
        <v>94</v>
      </c>
      <c r="AN8" s="38"/>
    </row>
    <row r="9" spans="2:40" ht="13.5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106"/>
      <c r="U9" s="10"/>
      <c r="V9" s="33"/>
      <c r="W9" s="33"/>
      <c r="X9" s="33"/>
      <c r="Y9" s="33"/>
      <c r="Z9" s="42"/>
      <c r="AA9" s="42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109"/>
      <c r="AN9" s="38"/>
    </row>
    <row r="10" spans="2:40" ht="13.5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106"/>
      <c r="U10" s="10"/>
      <c r="V10" s="33"/>
      <c r="W10" s="33"/>
      <c r="X10" s="33"/>
      <c r="Y10" s="33"/>
      <c r="Z10" s="42"/>
      <c r="AA10" s="42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109"/>
      <c r="AN10" s="38"/>
    </row>
    <row r="11" spans="1:40" ht="14.25" customHeight="1">
      <c r="A11" s="60" t="s">
        <v>100</v>
      </c>
      <c r="U11" s="3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98"/>
      <c r="AN11" s="38"/>
    </row>
    <row r="12" spans="1:40" ht="17.25" customHeight="1">
      <c r="A12" s="5" t="s">
        <v>98</v>
      </c>
      <c r="B12" s="6">
        <v>362.0688649821045</v>
      </c>
      <c r="C12" s="6"/>
      <c r="D12" s="6"/>
      <c r="E12" s="6"/>
      <c r="F12" s="6"/>
      <c r="G12" s="6"/>
      <c r="H12" s="6"/>
      <c r="I12" s="6"/>
      <c r="J12" s="6">
        <v>846.319</v>
      </c>
      <c r="K12" s="6">
        <v>930.517</v>
      </c>
      <c r="L12" s="6">
        <v>1019.4390000000001</v>
      </c>
      <c r="M12" s="6">
        <v>1129.478</v>
      </c>
      <c r="N12" s="6">
        <v>1198.1659999999997</v>
      </c>
      <c r="O12" s="6">
        <v>1241.54</v>
      </c>
      <c r="P12" s="6">
        <v>1355.05</v>
      </c>
      <c r="Q12" s="6">
        <v>1421.025</v>
      </c>
      <c r="R12" s="6">
        <v>1637.23</v>
      </c>
      <c r="S12" s="6">
        <v>1640.3429999999998</v>
      </c>
      <c r="T12" s="100">
        <v>1903.1580000000001</v>
      </c>
      <c r="U12" s="11"/>
      <c r="V12" s="34">
        <v>6.4065676604153605</v>
      </c>
      <c r="W12" s="34">
        <v>20.408046796736333</v>
      </c>
      <c r="X12" s="34">
        <v>18.775588115953223</v>
      </c>
      <c r="Y12" s="34">
        <v>13.684938282143287</v>
      </c>
      <c r="Z12" s="34" t="e">
        <f aca="true" t="shared" si="0" ref="Z12:AM16">100*(G12-F12)/F12</f>
        <v>#DIV/0!</v>
      </c>
      <c r="AA12" s="34" t="e">
        <f t="shared" si="0"/>
        <v>#DIV/0!</v>
      </c>
      <c r="AB12" s="76" t="e">
        <f t="shared" si="0"/>
        <v>#DIV/0!</v>
      </c>
      <c r="AC12" s="76" t="e">
        <f t="shared" si="0"/>
        <v>#DIV/0!</v>
      </c>
      <c r="AD12" s="76">
        <f t="shared" si="0"/>
        <v>9.948730915883976</v>
      </c>
      <c r="AE12" s="76">
        <f t="shared" si="0"/>
        <v>9.556192955099156</v>
      </c>
      <c r="AF12" s="76">
        <f t="shared" si="0"/>
        <v>10.794073995599538</v>
      </c>
      <c r="AG12" s="76">
        <f t="shared" si="0"/>
        <v>6.081393351619035</v>
      </c>
      <c r="AH12" s="76">
        <f t="shared" si="0"/>
        <v>3.6200326165155965</v>
      </c>
      <c r="AI12" s="76">
        <f t="shared" si="0"/>
        <v>9.14267764228297</v>
      </c>
      <c r="AJ12" s="76">
        <f t="shared" si="0"/>
        <v>4.86882402863364</v>
      </c>
      <c r="AK12" s="76">
        <f t="shared" si="0"/>
        <v>15.21472176773807</v>
      </c>
      <c r="AL12" s="76">
        <f t="shared" si="0"/>
        <v>0.1901382212639537</v>
      </c>
      <c r="AM12" s="110">
        <f t="shared" si="0"/>
        <v>16.021953944998106</v>
      </c>
      <c r="AN12" s="38"/>
    </row>
    <row r="13" spans="1:40" ht="17.25" customHeight="1">
      <c r="A13" s="112" t="s">
        <v>97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102">
        <f>550.289+378.271</f>
        <v>928.56</v>
      </c>
      <c r="U13" s="11"/>
      <c r="V13" s="34"/>
      <c r="W13" s="34"/>
      <c r="X13" s="34"/>
      <c r="Y13" s="34"/>
      <c r="Z13" s="34"/>
      <c r="AA13" s="34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110"/>
      <c r="AN13" s="38"/>
    </row>
    <row r="14" spans="1:40" ht="17.25" customHeight="1">
      <c r="A14" s="5" t="s">
        <v>5</v>
      </c>
      <c r="B14" s="6">
        <v>61.62712878190126</v>
      </c>
      <c r="C14" s="6">
        <v>63.53865059085046</v>
      </c>
      <c r="D14" s="6">
        <v>68.30633076173993</v>
      </c>
      <c r="E14" s="6">
        <v>75.20119480702958</v>
      </c>
      <c r="F14" s="6">
        <v>79.523</v>
      </c>
      <c r="G14" s="6">
        <v>81.43</v>
      </c>
      <c r="H14" s="6">
        <f>(57133+1397+20667+1347)/1000</f>
        <v>80.544</v>
      </c>
      <c r="I14" s="6">
        <f>55.495+1.478+21.724+1.349</f>
        <v>80.046</v>
      </c>
      <c r="J14" s="6">
        <f>52.969+1.106+21.298+1.227</f>
        <v>76.60000000000001</v>
      </c>
      <c r="K14" s="6">
        <f>52.301+1.105+21.324+1.349</f>
        <v>76.07900000000001</v>
      </c>
      <c r="L14" s="6">
        <f>55.626+1.322+23.38+1.302</f>
        <v>81.63000000000001</v>
      </c>
      <c r="M14" s="6">
        <f>59.675+1.018+22.985+1.439</f>
        <v>85.11699999999999</v>
      </c>
      <c r="N14" s="6">
        <f>52.347+1.084+20.503+1.317</f>
        <v>75.25099999999999</v>
      </c>
      <c r="O14" s="6">
        <f>49.394+1.214+20.235+2.549</f>
        <v>73.392</v>
      </c>
      <c r="P14" s="6">
        <f>52.219+1.078+19.266+2.538</f>
        <v>75.101</v>
      </c>
      <c r="Q14" s="6">
        <f>51.435+1.22+20.107+2.417</f>
        <v>75.179</v>
      </c>
      <c r="R14" s="6">
        <f>46.379+1.203+17.717+2.445</f>
        <v>67.744</v>
      </c>
      <c r="S14" s="6">
        <v>62</v>
      </c>
      <c r="T14" s="100">
        <f>44.441+15.72</f>
        <v>60.161</v>
      </c>
      <c r="U14" s="11"/>
      <c r="V14" s="34">
        <v>3.101753800203936</v>
      </c>
      <c r="W14" s="34">
        <v>7.503590533564171</v>
      </c>
      <c r="X14" s="34">
        <v>10.09403369848646</v>
      </c>
      <c r="Y14" s="34">
        <v>5.746990063203659</v>
      </c>
      <c r="Z14" s="34">
        <f t="shared" si="0"/>
        <v>2.3980483633665868</v>
      </c>
      <c r="AA14" s="34">
        <f t="shared" si="0"/>
        <v>-1.0880510868230502</v>
      </c>
      <c r="AB14" s="76">
        <f t="shared" si="0"/>
        <v>-0.6182955899880692</v>
      </c>
      <c r="AC14" s="76">
        <f t="shared" si="0"/>
        <v>-4.305024610848759</v>
      </c>
      <c r="AD14" s="76">
        <f t="shared" si="0"/>
        <v>-0.6801566579634475</v>
      </c>
      <c r="AE14" s="76">
        <f t="shared" si="0"/>
        <v>7.296362991101356</v>
      </c>
      <c r="AF14" s="76">
        <f t="shared" si="0"/>
        <v>4.271713830699474</v>
      </c>
      <c r="AG14" s="76">
        <f t="shared" si="0"/>
        <v>-11.591104009774782</v>
      </c>
      <c r="AH14" s="76">
        <f t="shared" si="0"/>
        <v>-2.4703990644642526</v>
      </c>
      <c r="AI14" s="76">
        <f t="shared" si="0"/>
        <v>2.3285916721168562</v>
      </c>
      <c r="AJ14" s="76">
        <f t="shared" si="0"/>
        <v>0.10386013501817946</v>
      </c>
      <c r="AK14" s="76">
        <f t="shared" si="0"/>
        <v>-9.889729844770484</v>
      </c>
      <c r="AL14" s="76">
        <f t="shared" si="0"/>
        <v>-8.478979688238072</v>
      </c>
      <c r="AM14" s="110">
        <f t="shared" si="0"/>
        <v>-2.9661290322580625</v>
      </c>
      <c r="AN14" s="38"/>
    </row>
    <row r="15" spans="1:40" ht="17.25" customHeight="1">
      <c r="A15" s="5" t="s">
        <v>6</v>
      </c>
      <c r="B15" s="6">
        <v>33.482267420479175</v>
      </c>
      <c r="C15" s="6">
        <v>44.89623323754058</v>
      </c>
      <c r="D15" s="6">
        <v>46.67198140514285</v>
      </c>
      <c r="E15" s="6">
        <v>50.184586249291506</v>
      </c>
      <c r="F15" s="6">
        <v>42.664</v>
      </c>
      <c r="G15" s="6">
        <v>51.753</v>
      </c>
      <c r="H15" s="6">
        <f>(16037+1002+33427+37)/1000</f>
        <v>50.503</v>
      </c>
      <c r="I15" s="6">
        <f>16.808+1.002+38.473+0.038</f>
        <v>56.321</v>
      </c>
      <c r="J15" s="6">
        <f>17.167+0.852+30.742+0.053</f>
        <v>48.814</v>
      </c>
      <c r="K15" s="6">
        <f>43.876+0.049+18.216+0.874</f>
        <v>63.015</v>
      </c>
      <c r="L15" s="6">
        <f>17.119+0.941+43.112+0.059</f>
        <v>61.230999999999995</v>
      </c>
      <c r="M15" s="6">
        <f>20.34+0.938+46.946+0.078</f>
        <v>68.30199999999999</v>
      </c>
      <c r="N15" s="6">
        <f>20.636+1.006+33.722+0.092</f>
        <v>55.456</v>
      </c>
      <c r="O15" s="6">
        <f>20.568+0.919+33.948+0.824</f>
        <v>56.259</v>
      </c>
      <c r="P15" s="6">
        <f>21.202+0.929+46.078+0.826</f>
        <v>69.035</v>
      </c>
      <c r="Q15" s="6">
        <f>22.774+0.958+55.713+0.97</f>
        <v>80.41499999999999</v>
      </c>
      <c r="R15" s="6">
        <f>23.627+1.109+74.589+0.737</f>
        <v>100.06199999999998</v>
      </c>
      <c r="S15" s="6">
        <v>152.677</v>
      </c>
      <c r="T15" s="100">
        <f>36.412+71.988</f>
        <v>108.4</v>
      </c>
      <c r="U15" s="11"/>
      <c r="V15" s="34">
        <v>34.08958441709398</v>
      </c>
      <c r="W15" s="34">
        <v>3.9552275091921483</v>
      </c>
      <c r="X15" s="34">
        <v>7.526153247399082</v>
      </c>
      <c r="Y15" s="34">
        <v>-14.985848865890926</v>
      </c>
      <c r="Z15" s="34">
        <f t="shared" si="0"/>
        <v>21.303675229701852</v>
      </c>
      <c r="AA15" s="34">
        <f t="shared" si="0"/>
        <v>-2.4153189187100264</v>
      </c>
      <c r="AB15" s="76">
        <f t="shared" si="0"/>
        <v>11.52010771637328</v>
      </c>
      <c r="AC15" s="76">
        <f t="shared" si="0"/>
        <v>-13.328953676248643</v>
      </c>
      <c r="AD15" s="76">
        <f t="shared" si="0"/>
        <v>29.09206375220224</v>
      </c>
      <c r="AE15" s="76">
        <f t="shared" si="0"/>
        <v>-2.8310719669919955</v>
      </c>
      <c r="AF15" s="76">
        <f t="shared" si="0"/>
        <v>11.548072055004816</v>
      </c>
      <c r="AG15" s="76">
        <f t="shared" si="0"/>
        <v>-18.80764838511316</v>
      </c>
      <c r="AH15" s="76">
        <f t="shared" si="0"/>
        <v>1.44799480669359</v>
      </c>
      <c r="AI15" s="76">
        <f t="shared" si="0"/>
        <v>22.709255408023598</v>
      </c>
      <c r="AJ15" s="76">
        <f t="shared" si="0"/>
        <v>16.484391975085096</v>
      </c>
      <c r="AK15" s="76">
        <f t="shared" si="0"/>
        <v>24.43200895355343</v>
      </c>
      <c r="AL15" s="76">
        <f t="shared" si="0"/>
        <v>52.58239891267416</v>
      </c>
      <c r="AM15" s="110">
        <f t="shared" si="0"/>
        <v>-29.000438834926015</v>
      </c>
      <c r="AN15" s="38"/>
    </row>
    <row r="16" spans="1:40" ht="17.25" customHeight="1">
      <c r="A16" s="5" t="s">
        <v>7</v>
      </c>
      <c r="B16" s="6">
        <v>205.9177785844681</v>
      </c>
      <c r="C16" s="6">
        <v>216.01549507089754</v>
      </c>
      <c r="D16" s="6">
        <v>241.09772895842895</v>
      </c>
      <c r="E16" s="6">
        <v>245.34783786011138</v>
      </c>
      <c r="F16" s="6">
        <v>268.069</v>
      </c>
      <c r="G16" s="6">
        <v>296.53</v>
      </c>
      <c r="H16" s="6">
        <f>(232850+19314+64162+2406)/1000</f>
        <v>318.732</v>
      </c>
      <c r="I16" s="6">
        <f>242.419+21.085+63.589+3.514</f>
        <v>330.607</v>
      </c>
      <c r="J16" s="6">
        <f>258.135+24.729+70.581+3.747</f>
        <v>357.192</v>
      </c>
      <c r="K16" s="6">
        <f>73.276+5.304+269.259+25.065</f>
        <v>372.904</v>
      </c>
      <c r="L16" s="6">
        <f>311.837+25.541+78.959+5.449</f>
        <v>421.786</v>
      </c>
      <c r="M16" s="6">
        <f>338.845+26.038+131.381+5.652</f>
        <v>501.916</v>
      </c>
      <c r="N16" s="6">
        <f>367.42+25.864+144.561+4.516</f>
        <v>542.361</v>
      </c>
      <c r="O16" s="6">
        <f>384.328+27.738+161.221+3.194</f>
        <v>576.481</v>
      </c>
      <c r="P16" s="6">
        <f>383.385+27.581+170+2.832</f>
        <v>583.798</v>
      </c>
      <c r="Q16" s="6">
        <f>408.989+31.107+175.9+3.577</f>
        <v>619.573</v>
      </c>
      <c r="R16" s="6">
        <f>439.515+29.232+183.758+1.313</f>
        <v>653.818</v>
      </c>
      <c r="S16" s="6">
        <v>669.567</v>
      </c>
      <c r="T16" s="100">
        <f>551.546+219.946</f>
        <v>771.4920000000001</v>
      </c>
      <c r="U16" s="11"/>
      <c r="V16" s="34">
        <v>4.903761373031389</v>
      </c>
      <c r="W16" s="34">
        <v>11.611312364096504</v>
      </c>
      <c r="X16" s="34">
        <v>1.7628158174875463</v>
      </c>
      <c r="Y16" s="34">
        <v>9.260795749438572</v>
      </c>
      <c r="Z16" s="34">
        <f t="shared" si="0"/>
        <v>10.617042627084802</v>
      </c>
      <c r="AA16" s="34">
        <f t="shared" si="0"/>
        <v>7.487269416247953</v>
      </c>
      <c r="AB16" s="76">
        <f t="shared" si="0"/>
        <v>3.725700588582257</v>
      </c>
      <c r="AC16" s="76">
        <f t="shared" si="0"/>
        <v>8.041269543597075</v>
      </c>
      <c r="AD16" s="76">
        <f t="shared" si="0"/>
        <v>4.398754731348963</v>
      </c>
      <c r="AE16" s="76">
        <f t="shared" si="0"/>
        <v>13.108467594876968</v>
      </c>
      <c r="AF16" s="76">
        <f t="shared" si="0"/>
        <v>18.997785606919148</v>
      </c>
      <c r="AG16" s="76">
        <f t="shared" si="0"/>
        <v>8.058121279257882</v>
      </c>
      <c r="AH16" s="76">
        <f t="shared" si="0"/>
        <v>6.2910128124994245</v>
      </c>
      <c r="AI16" s="76">
        <f t="shared" si="0"/>
        <v>1.2692525859481938</v>
      </c>
      <c r="AJ16" s="76">
        <f t="shared" si="0"/>
        <v>6.127975772441834</v>
      </c>
      <c r="AK16" s="76">
        <f t="shared" si="0"/>
        <v>5.527193728584042</v>
      </c>
      <c r="AL16" s="76">
        <f t="shared" si="0"/>
        <v>2.4087743072231147</v>
      </c>
      <c r="AM16" s="110">
        <f t="shared" si="0"/>
        <v>15.222524407564899</v>
      </c>
      <c r="AN16" s="38"/>
    </row>
    <row r="17" spans="1:40" ht="17.25" customHeight="1">
      <c r="A17" s="5" t="s">
        <v>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00"/>
      <c r="U17" s="11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98"/>
      <c r="AN17" s="38"/>
    </row>
    <row r="18" spans="1:40" ht="17.25" customHeight="1">
      <c r="A18" s="5" t="s">
        <v>9</v>
      </c>
      <c r="B18" s="6">
        <v>290.4901980142151</v>
      </c>
      <c r="C18" s="6">
        <v>268.7834465746824</v>
      </c>
      <c r="D18" s="6">
        <v>346.3029770944862</v>
      </c>
      <c r="E18" s="6">
        <v>429.53615451761175</v>
      </c>
      <c r="F18" s="6">
        <v>479.80899999999997</v>
      </c>
      <c r="G18" s="6">
        <v>477.85900000000004</v>
      </c>
      <c r="H18" s="6">
        <f>(396931+41424+45971+2607)/1000</f>
        <v>486.933</v>
      </c>
      <c r="I18" s="6">
        <f>488.033+45.776+53.977+1.729</f>
        <v>589.515</v>
      </c>
      <c r="J18" s="6">
        <f>417.68+50.519+53.299+1.657</f>
        <v>523.1550000000001</v>
      </c>
      <c r="K18" s="6">
        <f>462.965+43.131+55.088+2.591</f>
        <v>563.775</v>
      </c>
      <c r="L18" s="6">
        <f>560.466+46.033+59.534+2.927</f>
        <v>668.96</v>
      </c>
      <c r="M18" s="6">
        <f>628.29+53.555+66.333+3.612</f>
        <v>751.7899999999998</v>
      </c>
      <c r="N18" s="6">
        <f>654.291+45.219+69.654+3.182</f>
        <v>772.3460000000001</v>
      </c>
      <c r="O18" s="6">
        <f>737.157+50.441+76.21+8.22</f>
        <v>872.0280000000001</v>
      </c>
      <c r="P18" s="6">
        <f>872.443+58.506+81.94+8.148</f>
        <v>1021.0369999999999</v>
      </c>
      <c r="Q18" s="6">
        <f>850.85+60.529+81.075+10.469</f>
        <v>1002.9230000000001</v>
      </c>
      <c r="R18" s="6">
        <f>882.375+63.89+87.592+4.935</f>
        <v>1038.792</v>
      </c>
      <c r="S18" s="6">
        <v>996.841</v>
      </c>
      <c r="T18" s="100">
        <f>1102.212+94.222</f>
        <v>1196.434</v>
      </c>
      <c r="U18" s="11"/>
      <c r="V18" s="34">
        <v>-7.472455727566573</v>
      </c>
      <c r="W18" s="34">
        <v>28.840887155699434</v>
      </c>
      <c r="X18" s="34">
        <v>24.03478541289467</v>
      </c>
      <c r="Y18" s="34">
        <v>11.703984624727775</v>
      </c>
      <c r="Z18" s="34">
        <f aca="true" t="shared" si="1" ref="Z18:AM18">100*(G18-F18)/F18</f>
        <v>-0.4064117179961051</v>
      </c>
      <c r="AA18" s="34">
        <f t="shared" si="1"/>
        <v>1.898886491621996</v>
      </c>
      <c r="AB18" s="76">
        <f t="shared" si="1"/>
        <v>21.066964038173627</v>
      </c>
      <c r="AC18" s="76">
        <f t="shared" si="1"/>
        <v>-11.256711025164737</v>
      </c>
      <c r="AD18" s="76">
        <f t="shared" si="1"/>
        <v>7.7644292800412655</v>
      </c>
      <c r="AE18" s="76">
        <f t="shared" si="1"/>
        <v>18.657265753181687</v>
      </c>
      <c r="AF18" s="76">
        <f t="shared" si="1"/>
        <v>12.381906242525684</v>
      </c>
      <c r="AG18" s="76">
        <f t="shared" si="1"/>
        <v>2.734274198911966</v>
      </c>
      <c r="AH18" s="76">
        <f t="shared" si="1"/>
        <v>12.906391694913937</v>
      </c>
      <c r="AI18" s="76">
        <f t="shared" si="1"/>
        <v>17.087639387726057</v>
      </c>
      <c r="AJ18" s="76">
        <f t="shared" si="1"/>
        <v>-1.7740787062564634</v>
      </c>
      <c r="AK18" s="76">
        <f t="shared" si="1"/>
        <v>3.576446048201088</v>
      </c>
      <c r="AL18" s="76">
        <f t="shared" si="1"/>
        <v>-4.038440804318855</v>
      </c>
      <c r="AM18" s="110">
        <f t="shared" si="1"/>
        <v>20.02255123936515</v>
      </c>
      <c r="AN18" s="38"/>
    </row>
    <row r="19" spans="1:40" ht="17.25" customHeight="1">
      <c r="A19" s="5" t="s">
        <v>10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100"/>
      <c r="U19" s="11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98"/>
      <c r="AN19" s="38"/>
    </row>
    <row r="20" spans="1:40" ht="17.25" customHeight="1">
      <c r="A20" s="5" t="s">
        <v>9</v>
      </c>
      <c r="B20" s="6">
        <v>101.96948015876175</v>
      </c>
      <c r="C20" s="6">
        <v>104.65784849858332</v>
      </c>
      <c r="D20" s="6">
        <v>126.52205868749505</v>
      </c>
      <c r="E20" s="6">
        <v>118.14579538593242</v>
      </c>
      <c r="F20" s="6">
        <v>123.931</v>
      </c>
      <c r="G20" s="6">
        <v>149.601</v>
      </c>
      <c r="H20" s="6">
        <f>(95704+7835+36871+943)/1000</f>
        <v>141.353</v>
      </c>
      <c r="I20" s="6">
        <f>84.879+7.345+35.99+0.996</f>
        <v>129.21</v>
      </c>
      <c r="J20" s="6">
        <f>85.393+7.538+37.188+1.039</f>
        <v>131.158</v>
      </c>
      <c r="K20" s="6">
        <f>38.185+0.962+79.021+7.601</f>
        <v>125.769</v>
      </c>
      <c r="L20" s="6">
        <f>72.128+7.522+40.708+1.111</f>
        <v>121.46900000000001</v>
      </c>
      <c r="M20" s="6">
        <f>76.141+8.713+39.695+1.294</f>
        <v>125.843</v>
      </c>
      <c r="N20" s="6">
        <f>88.131+7.088+41.119+1.715</f>
        <v>138.053</v>
      </c>
      <c r="O20" s="6">
        <f>76.09+6.95+40.998+4.427</f>
        <v>128.465</v>
      </c>
      <c r="P20" s="6">
        <f>78.985+6.838+47.342+5.174</f>
        <v>138.339</v>
      </c>
      <c r="Q20" s="6">
        <f>79.381+6.67+57.282+5.359</f>
        <v>148.692</v>
      </c>
      <c r="R20" s="6">
        <f>83.649+6.588+48.496+5.212</f>
        <v>143.945</v>
      </c>
      <c r="S20" s="6">
        <v>149.719</v>
      </c>
      <c r="T20" s="100">
        <f>127.333+74.354</f>
        <v>201.687</v>
      </c>
      <c r="U20" s="11"/>
      <c r="V20" s="34">
        <v>2.636444096445231</v>
      </c>
      <c r="W20" s="34">
        <v>20.89113287018096</v>
      </c>
      <c r="X20" s="34">
        <v>-6.620397572135387</v>
      </c>
      <c r="Y20" s="34">
        <v>4.8966656791888035</v>
      </c>
      <c r="Z20" s="34">
        <f aca="true" t="shared" si="2" ref="Z20:AM27">100*(G20-F20)/F20</f>
        <v>20.7131387626986</v>
      </c>
      <c r="AA20" s="34">
        <f t="shared" si="2"/>
        <v>-5.513332130132814</v>
      </c>
      <c r="AB20" s="76">
        <f t="shared" si="2"/>
        <v>-8.590549899896006</v>
      </c>
      <c r="AC20" s="76">
        <f t="shared" si="2"/>
        <v>1.5076232489745214</v>
      </c>
      <c r="AD20" s="76">
        <f t="shared" si="2"/>
        <v>-4.10878482441024</v>
      </c>
      <c r="AE20" s="76">
        <f t="shared" si="2"/>
        <v>-3.418966517981376</v>
      </c>
      <c r="AF20" s="76">
        <f t="shared" si="2"/>
        <v>3.600918752932843</v>
      </c>
      <c r="AG20" s="76">
        <f t="shared" si="2"/>
        <v>9.702565895600067</v>
      </c>
      <c r="AH20" s="76">
        <f t="shared" si="2"/>
        <v>-6.945158743381161</v>
      </c>
      <c r="AI20" s="76">
        <f t="shared" si="2"/>
        <v>7.686140193827108</v>
      </c>
      <c r="AJ20" s="76">
        <f t="shared" si="2"/>
        <v>7.483789820657956</v>
      </c>
      <c r="AK20" s="76">
        <f t="shared" si="2"/>
        <v>-3.192505312996001</v>
      </c>
      <c r="AL20" s="76">
        <f t="shared" si="2"/>
        <v>4.011254298516795</v>
      </c>
      <c r="AM20" s="110">
        <f t="shared" si="2"/>
        <v>34.710357402868055</v>
      </c>
      <c r="AN20" s="38"/>
    </row>
    <row r="21" spans="1:40" ht="17.25" customHeight="1">
      <c r="A21" s="5" t="s">
        <v>11</v>
      </c>
      <c r="B21" s="6">
        <v>180.82635156195116</v>
      </c>
      <c r="C21" s="6">
        <v>196.14509765546433</v>
      </c>
      <c r="D21" s="6">
        <v>221.5695970049094</v>
      </c>
      <c r="E21" s="6">
        <v>253.6916408918669</v>
      </c>
      <c r="F21" s="6">
        <v>286.06899999999996</v>
      </c>
      <c r="G21" s="6">
        <v>334.676</v>
      </c>
      <c r="H21" s="6">
        <f>(338478+359+37336+217)/1000</f>
        <v>376.39</v>
      </c>
      <c r="I21" s="6">
        <f>386.03+0.904+41.092+0.228</f>
        <v>428.25399999999996</v>
      </c>
      <c r="J21" s="6">
        <f>435.471+0.703+52.785+0.27</f>
        <v>489.2289999999999</v>
      </c>
      <c r="K21" s="6">
        <f>54.538+0.313+449.204+0.574</f>
        <v>504.629</v>
      </c>
      <c r="L21" s="6">
        <f>491.999+0.297+77.003+0.339</f>
        <v>569.6380000000001</v>
      </c>
      <c r="M21" s="6">
        <f>543.4+0.424+80.016+0.343</f>
        <v>624.1829999999999</v>
      </c>
      <c r="N21" s="6">
        <f>601.841+0.689+76.284+0.358</f>
        <v>679.1719999999999</v>
      </c>
      <c r="O21" s="6">
        <f>633.502+0.309+94.033+0.298</f>
        <v>728.1419999999999</v>
      </c>
      <c r="P21" s="6">
        <f>643.241+0.405+102.062+0.343</f>
        <v>746.0509999999999</v>
      </c>
      <c r="Q21" s="6">
        <f>684.112+0.396+113.671+0.334</f>
        <v>798.5129999999999</v>
      </c>
      <c r="R21" s="6">
        <f>705.144+0.506+101.839+0.341</f>
        <v>807.83</v>
      </c>
      <c r="S21" s="6">
        <v>829.733</v>
      </c>
      <c r="T21" s="100">
        <f>742.37+135.573</f>
        <v>877.943</v>
      </c>
      <c r="U21" s="11"/>
      <c r="V21" s="34">
        <v>8.471523072379725</v>
      </c>
      <c r="W21" s="34">
        <v>12.962087583807016</v>
      </c>
      <c r="X21" s="34">
        <v>14.49749619134152</v>
      </c>
      <c r="Y21" s="34">
        <v>12.762485588531284</v>
      </c>
      <c r="Z21" s="34">
        <f t="shared" si="2"/>
        <v>16.991355232478888</v>
      </c>
      <c r="AA21" s="34">
        <f t="shared" si="2"/>
        <v>12.463995028027107</v>
      </c>
      <c r="AB21" s="76">
        <f t="shared" si="2"/>
        <v>13.779324636680034</v>
      </c>
      <c r="AC21" s="76">
        <f t="shared" si="2"/>
        <v>14.238045645808322</v>
      </c>
      <c r="AD21" s="76">
        <f t="shared" si="2"/>
        <v>3.147810125728461</v>
      </c>
      <c r="AE21" s="76">
        <f t="shared" si="2"/>
        <v>12.88253350481247</v>
      </c>
      <c r="AF21" s="76">
        <f t="shared" si="2"/>
        <v>9.57537945151126</v>
      </c>
      <c r="AG21" s="76">
        <f t="shared" si="2"/>
        <v>8.80975611319117</v>
      </c>
      <c r="AH21" s="76">
        <f t="shared" si="2"/>
        <v>7.210250128097159</v>
      </c>
      <c r="AI21" s="76">
        <f t="shared" si="2"/>
        <v>2.4595477255809985</v>
      </c>
      <c r="AJ21" s="76">
        <f t="shared" si="2"/>
        <v>7.031958941144773</v>
      </c>
      <c r="AK21" s="76">
        <f t="shared" si="2"/>
        <v>1.1667937779347515</v>
      </c>
      <c r="AL21" s="76">
        <f t="shared" si="2"/>
        <v>2.71133778146391</v>
      </c>
      <c r="AM21" s="110">
        <f t="shared" si="2"/>
        <v>5.8103028323569195</v>
      </c>
      <c r="AN21" s="38"/>
    </row>
    <row r="22" spans="1:40" ht="17.25" customHeight="1">
      <c r="A22" s="5" t="s">
        <v>12</v>
      </c>
      <c r="B22" s="6">
        <v>528.3708754195635</v>
      </c>
      <c r="C22" s="6">
        <v>510.7214644168389</v>
      </c>
      <c r="D22" s="6">
        <v>514.6044304063589</v>
      </c>
      <c r="E22" s="6">
        <v>557.7103232067383</v>
      </c>
      <c r="F22" s="6">
        <v>606.11</v>
      </c>
      <c r="G22" s="6">
        <v>631.789</v>
      </c>
      <c r="H22" s="6">
        <f>(386168+88449+76938+120364)/1000</f>
        <v>671.919</v>
      </c>
      <c r="I22" s="6">
        <f>399.051+92.366+88.235+122.745</f>
        <v>702.3969999999999</v>
      </c>
      <c r="J22" s="6">
        <f>417.377+59.601+89.973+165.889</f>
        <v>732.84</v>
      </c>
      <c r="K22" s="6">
        <f>93.073+188.142+435.887+83.98</f>
        <v>801.082</v>
      </c>
      <c r="L22" s="6">
        <f>456.664+98.024+101.403+206.668</f>
        <v>862.759</v>
      </c>
      <c r="M22" s="6">
        <f>499.798+105.334+105.881+234.125</f>
        <v>945.138</v>
      </c>
      <c r="N22" s="6">
        <f>515.271+104.907+106.359+239.882</f>
        <v>966.4190000000001</v>
      </c>
      <c r="O22" s="6">
        <f>506.612+104.7+117.097+385.114</f>
        <v>1113.523</v>
      </c>
      <c r="P22" s="6">
        <f>515.146+106.969+123.329+408.826</f>
        <v>1154.27</v>
      </c>
      <c r="Q22" s="6">
        <f>540.972+117.489+139.12+486.781</f>
        <v>1284.362</v>
      </c>
      <c r="R22" s="6">
        <f>552.039+123.642+170.226+458.187</f>
        <v>1304.094</v>
      </c>
      <c r="S22" s="6">
        <v>1365.177</v>
      </c>
      <c r="T22" s="100">
        <f>836.647+654.818</f>
        <v>1491.4650000000001</v>
      </c>
      <c r="U22" s="11"/>
      <c r="V22" s="34">
        <v>-3.34034516734287</v>
      </c>
      <c r="W22" s="34">
        <v>0.7602903461192363</v>
      </c>
      <c r="X22" s="34">
        <v>8.3765102384254</v>
      </c>
      <c r="Y22" s="34">
        <v>8.678282394876955</v>
      </c>
      <c r="Z22" s="34">
        <f t="shared" si="2"/>
        <v>4.236689709788648</v>
      </c>
      <c r="AA22" s="34">
        <f t="shared" si="2"/>
        <v>6.3518041624656325</v>
      </c>
      <c r="AB22" s="76">
        <f t="shared" si="2"/>
        <v>4.53596341225653</v>
      </c>
      <c r="AC22" s="76">
        <f t="shared" si="2"/>
        <v>4.334158602613636</v>
      </c>
      <c r="AD22" s="76">
        <f t="shared" si="2"/>
        <v>9.311991703509628</v>
      </c>
      <c r="AE22" s="76">
        <f t="shared" si="2"/>
        <v>7.699211816018837</v>
      </c>
      <c r="AF22" s="76">
        <f t="shared" si="2"/>
        <v>9.54832114182524</v>
      </c>
      <c r="AG22" s="76">
        <f t="shared" si="2"/>
        <v>2.2516288626634484</v>
      </c>
      <c r="AH22" s="76">
        <f t="shared" si="2"/>
        <v>15.221555039791209</v>
      </c>
      <c r="AI22" s="76">
        <f t="shared" si="2"/>
        <v>3.6592867861732605</v>
      </c>
      <c r="AJ22" s="76">
        <f t="shared" si="2"/>
        <v>11.270499969677815</v>
      </c>
      <c r="AK22" s="76">
        <f t="shared" si="2"/>
        <v>1.536326985694062</v>
      </c>
      <c r="AL22" s="76">
        <f t="shared" si="2"/>
        <v>4.683941495014919</v>
      </c>
      <c r="AM22" s="110">
        <f t="shared" si="2"/>
        <v>9.250668594621816</v>
      </c>
      <c r="AN22" s="38"/>
    </row>
    <row r="23" spans="1:40" ht="17.25" customHeight="1">
      <c r="A23" s="5" t="s">
        <v>13</v>
      </c>
      <c r="B23" s="6">
        <v>208.0188312854395</v>
      </c>
      <c r="C23" s="6">
        <v>214.586382638937</v>
      </c>
      <c r="D23" s="6">
        <v>233.90315402818493</v>
      </c>
      <c r="E23" s="6">
        <v>262.67035334601474</v>
      </c>
      <c r="F23" s="6">
        <v>264.824</v>
      </c>
      <c r="G23" s="6">
        <v>262.369</v>
      </c>
      <c r="H23" s="6">
        <f>(224463+144+100123+107)/1000</f>
        <v>324.837</v>
      </c>
      <c r="I23" s="6">
        <f>248.471+0.142+233.168+0.097</f>
        <v>481.878</v>
      </c>
      <c r="J23" s="6">
        <f>251.627+1.131+282.763+0.156</f>
        <v>535.6769999999999</v>
      </c>
      <c r="K23" s="6">
        <f>301.858+0.108+301.405+1.167</f>
        <v>604.538</v>
      </c>
      <c r="L23" s="6">
        <f>310.999+1.361+315.33+0.167</f>
        <v>627.8570000000001</v>
      </c>
      <c r="M23" s="6">
        <f>348.744+1.187+353.38+0.214</f>
        <v>703.5250000000001</v>
      </c>
      <c r="N23" s="6">
        <f>406.572+0.344+504.29+0.24</f>
        <v>911.446</v>
      </c>
      <c r="O23" s="6">
        <f>440.825+0.213+736.093+0.682</f>
        <v>1177.8129999999999</v>
      </c>
      <c r="P23" s="6">
        <f>481.459+0.208+627.533+0.84</f>
        <v>1110.04</v>
      </c>
      <c r="Q23" s="6">
        <f>505.125+0.223+673.261+0.771</f>
        <v>1179.3799999999999</v>
      </c>
      <c r="R23" s="6">
        <f>591.302+0.245+749.61+1.509</f>
        <v>1342.6660000000002</v>
      </c>
      <c r="S23" s="6">
        <v>1409.238</v>
      </c>
      <c r="T23" s="100">
        <f>520.271+438.223</f>
        <v>958.4939999999999</v>
      </c>
      <c r="U23" s="11"/>
      <c r="V23" s="34">
        <v>3.1571907759089615</v>
      </c>
      <c r="W23" s="34">
        <v>9.00186263065458</v>
      </c>
      <c r="X23" s="34">
        <v>12.298765032626884</v>
      </c>
      <c r="Y23" s="34">
        <v>0.819904730987393</v>
      </c>
      <c r="Z23" s="34">
        <f t="shared" si="2"/>
        <v>-0.9270307827085098</v>
      </c>
      <c r="AA23" s="34">
        <f t="shared" si="2"/>
        <v>23.809215265522965</v>
      </c>
      <c r="AB23" s="76">
        <f t="shared" si="2"/>
        <v>48.34455434571801</v>
      </c>
      <c r="AC23" s="76">
        <f t="shared" si="2"/>
        <v>11.16444411241018</v>
      </c>
      <c r="AD23" s="76">
        <f t="shared" si="2"/>
        <v>12.85494803771678</v>
      </c>
      <c r="AE23" s="76">
        <f t="shared" si="2"/>
        <v>3.857325759505618</v>
      </c>
      <c r="AF23" s="76">
        <f t="shared" si="2"/>
        <v>12.051788862750595</v>
      </c>
      <c r="AG23" s="76">
        <f t="shared" si="2"/>
        <v>29.554173625670717</v>
      </c>
      <c r="AH23" s="76">
        <f t="shared" si="2"/>
        <v>29.22466059426448</v>
      </c>
      <c r="AI23" s="76">
        <f t="shared" si="2"/>
        <v>-5.7541392394208515</v>
      </c>
      <c r="AJ23" s="76">
        <f t="shared" si="2"/>
        <v>6.246621743360593</v>
      </c>
      <c r="AK23" s="76">
        <f t="shared" si="2"/>
        <v>13.845071139073097</v>
      </c>
      <c r="AL23" s="76">
        <f t="shared" si="2"/>
        <v>4.958195113304416</v>
      </c>
      <c r="AM23" s="110">
        <f t="shared" si="2"/>
        <v>-31.984945055412936</v>
      </c>
      <c r="AN23" s="38"/>
    </row>
    <row r="24" spans="1:40" ht="17.25" customHeight="1">
      <c r="A24" s="5" t="s">
        <v>14</v>
      </c>
      <c r="B24" s="6">
        <v>121.05364798312195</v>
      </c>
      <c r="C24" s="6">
        <v>150.41006158359636</v>
      </c>
      <c r="D24" s="6">
        <v>149.8759614042346</v>
      </c>
      <c r="E24" s="6">
        <v>163.67090332053422</v>
      </c>
      <c r="F24" s="6">
        <v>169.788</v>
      </c>
      <c r="G24" s="6">
        <v>169.575</v>
      </c>
      <c r="H24" s="6">
        <f>(99474+617+77298+212)/1000</f>
        <v>177.601</v>
      </c>
      <c r="I24" s="6">
        <f>97.854+0.695+81.722+0.137</f>
        <v>180.408</v>
      </c>
      <c r="J24" s="6">
        <f>104.494+0.589+83.118+0.263</f>
        <v>188.464</v>
      </c>
      <c r="K24" s="6">
        <f>85.85+0.351+93.607+0.647</f>
        <v>180.45499999999998</v>
      </c>
      <c r="L24" s="6">
        <f>102.774+0.907+89.859+0.251</f>
        <v>193.791</v>
      </c>
      <c r="M24" s="6">
        <f>111.166+0.608+97.636+0.314</f>
        <v>209.724</v>
      </c>
      <c r="N24" s="6">
        <f>105.627+0.467+97.224+0.405</f>
        <v>203.72299999999998</v>
      </c>
      <c r="O24" s="6">
        <f>100.812+0.382+93.019+1.285</f>
        <v>195.49800000000002</v>
      </c>
      <c r="P24" s="6">
        <f>109.179+0.41+99.655+0.731</f>
        <v>209.975</v>
      </c>
      <c r="Q24" s="6">
        <f>112.88+0.523+101.477+1.074</f>
        <v>215.954</v>
      </c>
      <c r="R24" s="6">
        <f>114.135+0.524+84.641+0.751</f>
        <v>200.05100000000002</v>
      </c>
      <c r="S24" s="6">
        <v>191.352</v>
      </c>
      <c r="T24" s="100">
        <f>115.77+86.193</f>
        <v>201.963</v>
      </c>
      <c r="U24" s="11"/>
      <c r="V24" s="34">
        <v>24.250746747068263</v>
      </c>
      <c r="W24" s="34">
        <v>-0.35509604459865907</v>
      </c>
      <c r="X24" s="34">
        <v>9.204239150194942</v>
      </c>
      <c r="Y24" s="34">
        <v>3.7374368659076955</v>
      </c>
      <c r="Z24" s="34">
        <f t="shared" si="2"/>
        <v>-0.12545056187717757</v>
      </c>
      <c r="AA24" s="34">
        <f t="shared" si="2"/>
        <v>4.733008993070919</v>
      </c>
      <c r="AB24" s="76">
        <f t="shared" si="2"/>
        <v>1.5805091187549551</v>
      </c>
      <c r="AC24" s="76">
        <f t="shared" si="2"/>
        <v>4.465433905370057</v>
      </c>
      <c r="AD24" s="76">
        <f t="shared" si="2"/>
        <v>-4.249617964173537</v>
      </c>
      <c r="AE24" s="76">
        <f t="shared" si="2"/>
        <v>7.390208085118181</v>
      </c>
      <c r="AF24" s="76">
        <f t="shared" si="2"/>
        <v>8.221744043841042</v>
      </c>
      <c r="AG24" s="76">
        <f t="shared" si="2"/>
        <v>-2.8613797181057032</v>
      </c>
      <c r="AH24" s="76">
        <f t="shared" si="2"/>
        <v>-4.0373448260628235</v>
      </c>
      <c r="AI24" s="76">
        <f t="shared" si="2"/>
        <v>7.405190845942145</v>
      </c>
      <c r="AJ24" s="76">
        <f t="shared" si="2"/>
        <v>2.8474818430765634</v>
      </c>
      <c r="AK24" s="76">
        <f t="shared" si="2"/>
        <v>-7.364068273799046</v>
      </c>
      <c r="AL24" s="76">
        <f t="shared" si="2"/>
        <v>-4.348391160254141</v>
      </c>
      <c r="AM24" s="110">
        <f t="shared" si="2"/>
        <v>5.545277812617579</v>
      </c>
      <c r="AN24" s="38"/>
    </row>
    <row r="25" spans="1:40" ht="17.25" customHeight="1">
      <c r="A25" s="5" t="s">
        <v>15</v>
      </c>
      <c r="B25" s="6">
        <v>82.5035854012963</v>
      </c>
      <c r="C25" s="6">
        <v>76.1723452314033</v>
      </c>
      <c r="D25" s="6">
        <v>91.2325315814879</v>
      </c>
      <c r="E25" s="6">
        <v>94.57778943880734</v>
      </c>
      <c r="F25" s="6">
        <v>100.745</v>
      </c>
      <c r="G25" s="6">
        <v>105.989</v>
      </c>
      <c r="H25" s="6">
        <f>(104246)/1000</f>
        <v>104.246</v>
      </c>
      <c r="I25" s="6">
        <f>115.776</f>
        <v>115.776</v>
      </c>
      <c r="J25" s="6">
        <f>112.847</f>
        <v>112.847</v>
      </c>
      <c r="K25" s="6">
        <f>115.277</f>
        <v>115.277</v>
      </c>
      <c r="L25" s="6">
        <v>112.623</v>
      </c>
      <c r="M25" s="6">
        <f>118.509+0.033</f>
        <v>118.542</v>
      </c>
      <c r="N25" s="6">
        <f>125.745+0.002</f>
        <v>125.747</v>
      </c>
      <c r="O25" s="6">
        <f>130.831</f>
        <v>130.831</v>
      </c>
      <c r="P25" s="6">
        <f>130.264</f>
        <v>130.264</v>
      </c>
      <c r="Q25" s="6">
        <f>133.406+0.001</f>
        <v>133.407</v>
      </c>
      <c r="R25" s="6">
        <f>142.37</f>
        <v>142.37</v>
      </c>
      <c r="S25" s="6">
        <v>143.77</v>
      </c>
      <c r="T25" s="100">
        <f>138.647</f>
        <v>138.647</v>
      </c>
      <c r="U25" s="11"/>
      <c r="V25" s="34">
        <v>-7.673897005927612</v>
      </c>
      <c r="W25" s="34">
        <v>19.7711995138569</v>
      </c>
      <c r="X25" s="34">
        <v>3.6667379489864214</v>
      </c>
      <c r="Y25" s="34">
        <v>6.520781039382296</v>
      </c>
      <c r="Z25" s="34">
        <f t="shared" si="2"/>
        <v>5.2052211027842565</v>
      </c>
      <c r="AA25" s="34">
        <f t="shared" si="2"/>
        <v>-1.6445102793686224</v>
      </c>
      <c r="AB25" s="76">
        <f t="shared" si="2"/>
        <v>11.060376417320569</v>
      </c>
      <c r="AC25" s="76">
        <f t="shared" si="2"/>
        <v>-2.5298852957435067</v>
      </c>
      <c r="AD25" s="76">
        <f t="shared" si="2"/>
        <v>2.1533580866128537</v>
      </c>
      <c r="AE25" s="76">
        <f t="shared" si="2"/>
        <v>-2.302280593700388</v>
      </c>
      <c r="AF25" s="76">
        <f t="shared" si="2"/>
        <v>5.255587224634397</v>
      </c>
      <c r="AG25" s="76">
        <f t="shared" si="2"/>
        <v>6.078014543368593</v>
      </c>
      <c r="AH25" s="76">
        <f t="shared" si="2"/>
        <v>4.043038800130412</v>
      </c>
      <c r="AI25" s="76">
        <f t="shared" si="2"/>
        <v>-0.4333835253112633</v>
      </c>
      <c r="AJ25" s="76">
        <f t="shared" si="2"/>
        <v>2.4127924829576863</v>
      </c>
      <c r="AK25" s="76">
        <f t="shared" si="2"/>
        <v>6.718538007750713</v>
      </c>
      <c r="AL25" s="76">
        <f t="shared" si="2"/>
        <v>0.9833532345297504</v>
      </c>
      <c r="AM25" s="110">
        <f t="shared" si="2"/>
        <v>-3.563330319259942</v>
      </c>
      <c r="AN25" s="38"/>
    </row>
    <row r="26" spans="1:40" ht="17.25" customHeight="1">
      <c r="A26" s="5" t="s">
        <v>16</v>
      </c>
      <c r="B26" s="6">
        <v>133.0991377625433</v>
      </c>
      <c r="C26" s="6">
        <v>170.75498554660035</v>
      </c>
      <c r="D26" s="6">
        <v>192.99362735946636</v>
      </c>
      <c r="E26" s="6">
        <v>188.34592219962897</v>
      </c>
      <c r="F26" s="6">
        <v>208.374</v>
      </c>
      <c r="G26" s="6">
        <v>195.554</v>
      </c>
      <c r="H26" s="6">
        <f>(195132+41919+4479)/1000</f>
        <v>241.53</v>
      </c>
      <c r="I26" s="6">
        <f>367.678+41.771+4.737</f>
        <v>414.18600000000004</v>
      </c>
      <c r="J26" s="6">
        <f>508.666+69.063+5.722</f>
        <v>583.451</v>
      </c>
      <c r="K26" s="6">
        <f>564.75+70.67+7.314</f>
        <v>642.7339999999999</v>
      </c>
      <c r="L26" s="6">
        <f>599.576+75.502+7.526</f>
        <v>682.6039999999999</v>
      </c>
      <c r="M26" s="6">
        <f>634.647+80.714+10.297</f>
        <v>725.6580000000001</v>
      </c>
      <c r="N26" s="6">
        <f>678.957+88.44+6.602+0.011</f>
        <v>774.0099999999999</v>
      </c>
      <c r="O26" s="6">
        <f>691.594+242.425+6.784+0.011</f>
        <v>940.814</v>
      </c>
      <c r="P26" s="6">
        <f>707.502+257.733+7.054+0.005</f>
        <v>972.2939999999999</v>
      </c>
      <c r="Q26" s="6">
        <f>824.701+279.017+7.447+0.013</f>
        <v>1111.1779999999999</v>
      </c>
      <c r="R26" s="6">
        <f>519.468+292.797+8.616+0.003</f>
        <v>820.884</v>
      </c>
      <c r="S26" s="6">
        <v>812.505</v>
      </c>
      <c r="T26" s="100">
        <f>715.578+8.734</f>
        <v>724.312</v>
      </c>
      <c r="U26" s="11"/>
      <c r="V26" s="34">
        <v>28.291579056836035</v>
      </c>
      <c r="W26" s="34">
        <v>13.023714500445383</v>
      </c>
      <c r="X26" s="34">
        <v>-2.4082169051005278</v>
      </c>
      <c r="Y26" s="34">
        <v>10.633666801208015</v>
      </c>
      <c r="Z26" s="34">
        <f t="shared" si="2"/>
        <v>-6.152399051705104</v>
      </c>
      <c r="AA26" s="34">
        <f t="shared" si="2"/>
        <v>23.510641561921517</v>
      </c>
      <c r="AB26" s="76">
        <f t="shared" si="2"/>
        <v>71.48428766612844</v>
      </c>
      <c r="AC26" s="76">
        <f t="shared" si="2"/>
        <v>40.866905206839434</v>
      </c>
      <c r="AD26" s="76">
        <f t="shared" si="2"/>
        <v>10.160750431484376</v>
      </c>
      <c r="AE26" s="76">
        <f t="shared" si="2"/>
        <v>6.203188255172437</v>
      </c>
      <c r="AF26" s="76">
        <f t="shared" si="2"/>
        <v>6.307317273265348</v>
      </c>
      <c r="AG26" s="76">
        <f t="shared" si="2"/>
        <v>6.663193956381621</v>
      </c>
      <c r="AH26" s="76">
        <f t="shared" si="2"/>
        <v>21.550625960904913</v>
      </c>
      <c r="AI26" s="76">
        <f t="shared" si="2"/>
        <v>3.3460386431324265</v>
      </c>
      <c r="AJ26" s="76">
        <f t="shared" si="2"/>
        <v>14.284156849677158</v>
      </c>
      <c r="AK26" s="76">
        <f t="shared" si="2"/>
        <v>-26.12488728178563</v>
      </c>
      <c r="AL26" s="76">
        <f t="shared" si="2"/>
        <v>-1.0207288727761803</v>
      </c>
      <c r="AM26" s="110">
        <f t="shared" si="2"/>
        <v>-10.854456280269044</v>
      </c>
      <c r="AN26" s="38"/>
    </row>
    <row r="27" spans="1:40" ht="17.25" customHeight="1">
      <c r="A27" s="5" t="s">
        <v>1</v>
      </c>
      <c r="B27" s="6">
        <v>304.5914335612641</v>
      </c>
      <c r="C27" s="6">
        <v>311.7846425595438</v>
      </c>
      <c r="D27" s="6">
        <v>279.75908761413655</v>
      </c>
      <c r="E27" s="6">
        <v>320.1886059407339</v>
      </c>
      <c r="F27" s="6">
        <v>330.54299999999995</v>
      </c>
      <c r="G27" s="6">
        <v>373.12600000000003</v>
      </c>
      <c r="H27" s="6">
        <f>(298776+35508+45439+2763)/1000</f>
        <v>382.486</v>
      </c>
      <c r="I27" s="6">
        <f>318.435+33.725+66.143+3.857</f>
        <v>422.16</v>
      </c>
      <c r="J27" s="6">
        <f>394.72+33.11+73.878+4.513</f>
        <v>506.221</v>
      </c>
      <c r="K27" s="6">
        <f>388.501+30.043+96.65+4.436</f>
        <v>519.63</v>
      </c>
      <c r="L27" s="6">
        <f>419.403+32.502+100.386+8.801</f>
        <v>561.0920000000001</v>
      </c>
      <c r="M27" s="6">
        <f>511.994+34.858+115.429+10.835</f>
        <v>673.116</v>
      </c>
      <c r="N27" s="6">
        <f>543.904+34.982+143.763+12.659</f>
        <v>735.308</v>
      </c>
      <c r="O27" s="6">
        <f>556.98+35.956+175.189+139.88+10</f>
        <v>918.005</v>
      </c>
      <c r="P27" s="6">
        <f>719.944+32.065+191.153+156.853+3</f>
        <v>1103.015</v>
      </c>
      <c r="Q27" s="6">
        <f>836.134+55.182+203.048+119.418</f>
        <v>1213.7820000000002</v>
      </c>
      <c r="R27" s="6">
        <f>671.571+53.166+215.022+165.908</f>
        <v>1105.667</v>
      </c>
      <c r="S27" s="6">
        <v>1139.343</v>
      </c>
      <c r="T27" s="100">
        <f>756.731+483.889+62.287+154.694</f>
        <v>1457.6009999999999</v>
      </c>
      <c r="U27" s="11"/>
      <c r="V27" s="34">
        <v>2.36159267979966</v>
      </c>
      <c r="W27" s="34">
        <v>-10.271690960304783</v>
      </c>
      <c r="X27" s="34">
        <v>14.451547819730026</v>
      </c>
      <c r="Y27" s="34">
        <v>3.2338421377750755</v>
      </c>
      <c r="Z27" s="34">
        <f t="shared" si="2"/>
        <v>12.882741428497983</v>
      </c>
      <c r="AA27" s="34">
        <f t="shared" si="2"/>
        <v>2.508535990523297</v>
      </c>
      <c r="AB27" s="76">
        <f t="shared" si="2"/>
        <v>10.372667234879193</v>
      </c>
      <c r="AC27" s="76">
        <f t="shared" si="2"/>
        <v>19.912118628008333</v>
      </c>
      <c r="AD27" s="76">
        <f t="shared" si="2"/>
        <v>2.648843094221692</v>
      </c>
      <c r="AE27" s="76">
        <f t="shared" si="2"/>
        <v>7.979139002751977</v>
      </c>
      <c r="AF27" s="76">
        <f t="shared" si="2"/>
        <v>19.965353275398662</v>
      </c>
      <c r="AG27" s="76">
        <f t="shared" si="2"/>
        <v>9.239417871511003</v>
      </c>
      <c r="AH27" s="76">
        <f t="shared" si="2"/>
        <v>24.846322901423623</v>
      </c>
      <c r="AI27" s="76">
        <f t="shared" si="2"/>
        <v>20.153485002805006</v>
      </c>
      <c r="AJ27" s="76">
        <f t="shared" si="2"/>
        <v>10.042202508578763</v>
      </c>
      <c r="AK27" s="76">
        <f t="shared" si="2"/>
        <v>-8.907283185942799</v>
      </c>
      <c r="AL27" s="76">
        <f t="shared" si="2"/>
        <v>3.0457633265712154</v>
      </c>
      <c r="AM27" s="110">
        <f t="shared" si="2"/>
        <v>27.933466919092826</v>
      </c>
      <c r="AN27" s="38"/>
    </row>
    <row r="28" spans="1:40" ht="17.25" customHeight="1">
      <c r="A28" s="112" t="s">
        <v>99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02">
        <f>154.694+62.287</f>
        <v>216.981</v>
      </c>
      <c r="U28" s="11"/>
      <c r="V28" s="34"/>
      <c r="W28" s="34"/>
      <c r="X28" s="34"/>
      <c r="Y28" s="34"/>
      <c r="Z28" s="34"/>
      <c r="AA28" s="34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110"/>
      <c r="AN28" s="38"/>
    </row>
    <row r="29" spans="2:40" ht="10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00"/>
      <c r="U29" s="11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98"/>
      <c r="AN29" s="38"/>
    </row>
    <row r="30" spans="1:40" ht="13.5">
      <c r="A30" s="60" t="s">
        <v>101</v>
      </c>
      <c r="B30" s="61">
        <v>2614.01958091711</v>
      </c>
      <c r="C30" s="61">
        <v>2720.1734638946527</v>
      </c>
      <c r="D30" s="61">
        <v>2976.1206782009945</v>
      </c>
      <c r="E30" s="61">
        <v>3294.6886252823456</v>
      </c>
      <c r="F30" s="61">
        <v>3557.66</v>
      </c>
      <c r="G30" s="61">
        <v>3794.7570000000005</v>
      </c>
      <c r="H30" s="61">
        <f aca="true" t="shared" si="3" ref="H30:S30">SUM(H12:H27)</f>
        <v>3357.074</v>
      </c>
      <c r="I30" s="61">
        <f t="shared" si="3"/>
        <v>3930.758</v>
      </c>
      <c r="J30" s="61">
        <f t="shared" si="3"/>
        <v>5131.966999999999</v>
      </c>
      <c r="K30" s="61">
        <f t="shared" si="3"/>
        <v>5500.4039999999995</v>
      </c>
      <c r="L30" s="61">
        <f t="shared" si="3"/>
        <v>5984.879000000001</v>
      </c>
      <c r="M30" s="61">
        <f t="shared" si="3"/>
        <v>6662.332</v>
      </c>
      <c r="N30" s="61">
        <f t="shared" si="3"/>
        <v>7177.458</v>
      </c>
      <c r="O30" s="61">
        <f t="shared" si="3"/>
        <v>8152.791</v>
      </c>
      <c r="P30" s="61">
        <f t="shared" si="3"/>
        <v>8668.269</v>
      </c>
      <c r="Q30" s="61">
        <f t="shared" si="3"/>
        <v>9284.383</v>
      </c>
      <c r="R30" s="61">
        <f t="shared" si="3"/>
        <v>9365.153</v>
      </c>
      <c r="S30" s="61">
        <f t="shared" si="3"/>
        <v>9562.265</v>
      </c>
      <c r="T30" s="99">
        <f>SUM(T12:T27)-T13</f>
        <v>10091.757000000001</v>
      </c>
      <c r="U30" s="13"/>
      <c r="V30" s="35">
        <v>4.0609444455767765</v>
      </c>
      <c r="W30" s="35">
        <v>9.409223996321364</v>
      </c>
      <c r="X30" s="35">
        <v>10.704134056617592</v>
      </c>
      <c r="Y30" s="35">
        <v>7.981676104372939</v>
      </c>
      <c r="Z30" s="35">
        <f aca="true" t="shared" si="4" ref="Z30:AM30">100*(G30-F30)/F30</f>
        <v>6.664408628143237</v>
      </c>
      <c r="AA30" s="35">
        <f t="shared" si="4"/>
        <v>-11.533887413607786</v>
      </c>
      <c r="AB30" s="75">
        <f t="shared" si="4"/>
        <v>17.088810076870505</v>
      </c>
      <c r="AC30" s="75">
        <f t="shared" si="4"/>
        <v>30.55922038446526</v>
      </c>
      <c r="AD30" s="75">
        <f t="shared" si="4"/>
        <v>7.179255049769434</v>
      </c>
      <c r="AE30" s="75">
        <f t="shared" si="4"/>
        <v>8.807989376780348</v>
      </c>
      <c r="AF30" s="75">
        <f t="shared" si="4"/>
        <v>11.319410133437945</v>
      </c>
      <c r="AG30" s="75">
        <f t="shared" si="4"/>
        <v>7.7319172926236535</v>
      </c>
      <c r="AH30" s="75">
        <f t="shared" si="4"/>
        <v>13.588836047525469</v>
      </c>
      <c r="AI30" s="75">
        <f t="shared" si="4"/>
        <v>6.322718195523472</v>
      </c>
      <c r="AJ30" s="75">
        <f t="shared" si="4"/>
        <v>7.107693589112192</v>
      </c>
      <c r="AK30" s="75">
        <f t="shared" si="4"/>
        <v>0.8699554940807638</v>
      </c>
      <c r="AL30" s="75">
        <f t="shared" si="4"/>
        <v>2.1047387052832898</v>
      </c>
      <c r="AM30" s="111">
        <f t="shared" si="4"/>
        <v>5.537307322062315</v>
      </c>
      <c r="AN30" s="40"/>
    </row>
    <row r="31" spans="2:40" ht="8.25" customHeight="1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99"/>
      <c r="U31" s="13"/>
      <c r="V31" s="35"/>
      <c r="W31" s="35"/>
      <c r="X31" s="35"/>
      <c r="Y31" s="35"/>
      <c r="Z31" s="35"/>
      <c r="AA31" s="3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111"/>
      <c r="AN31" s="40"/>
    </row>
    <row r="32" spans="1:40" ht="13.5">
      <c r="A32" s="60" t="s">
        <v>63</v>
      </c>
      <c r="B32" s="61">
        <v>157.80282656629208</v>
      </c>
      <c r="C32" s="61">
        <v>191.91873832145083</v>
      </c>
      <c r="D32" s="61">
        <v>213.83816621340023</v>
      </c>
      <c r="E32" s="61">
        <v>242.2412386704408</v>
      </c>
      <c r="F32" s="61">
        <v>279.524</v>
      </c>
      <c r="G32" s="61">
        <v>330.017</v>
      </c>
      <c r="H32" s="61">
        <f>346.254+16.13</f>
        <v>362.384</v>
      </c>
      <c r="I32" s="61">
        <f>420.118+51.223</f>
        <v>471.341</v>
      </c>
      <c r="J32" s="61">
        <f>525.424+75.527</f>
        <v>600.951</v>
      </c>
      <c r="K32" s="61">
        <f>564.336+86.667</f>
        <v>651.003</v>
      </c>
      <c r="L32" s="61">
        <f>101.246+599.467</f>
        <v>700.713</v>
      </c>
      <c r="M32" s="61">
        <f>136.617+714.074</f>
        <v>850.6909999999999</v>
      </c>
      <c r="N32" s="61">
        <f>829.404+381.571</f>
        <v>1210.975</v>
      </c>
      <c r="O32" s="61">
        <f>388.681+778.387</f>
        <v>1167.068</v>
      </c>
      <c r="P32" s="61">
        <f>431.011+835.769</f>
        <v>1266.78</v>
      </c>
      <c r="Q32" s="61">
        <v>1236.691</v>
      </c>
      <c r="R32" s="61">
        <f>809.689+513.342</f>
        <v>1323.031</v>
      </c>
      <c r="S32" s="61">
        <v>1248.319</v>
      </c>
      <c r="T32" s="99"/>
      <c r="U32" s="13"/>
      <c r="V32" s="35">
        <v>21.619328688530715</v>
      </c>
      <c r="W32" s="35">
        <v>11.42120257962297</v>
      </c>
      <c r="X32" s="35">
        <v>13.282508431490973</v>
      </c>
      <c r="Y32" s="35">
        <v>15.39075738474111</v>
      </c>
      <c r="Z32" s="35">
        <f aca="true" t="shared" si="5" ref="Z32:AL32">100*(G32-F32)/F32</f>
        <v>18.063922954737336</v>
      </c>
      <c r="AA32" s="35">
        <f t="shared" si="5"/>
        <v>9.80767657423709</v>
      </c>
      <c r="AB32" s="75">
        <f t="shared" si="5"/>
        <v>30.066724800211926</v>
      </c>
      <c r="AC32" s="75">
        <f t="shared" si="5"/>
        <v>27.498138290537003</v>
      </c>
      <c r="AD32" s="75">
        <f t="shared" si="5"/>
        <v>8.328798853816705</v>
      </c>
      <c r="AE32" s="75">
        <f t="shared" si="5"/>
        <v>7.635909511937721</v>
      </c>
      <c r="AF32" s="75">
        <f t="shared" si="5"/>
        <v>21.403627448042204</v>
      </c>
      <c r="AG32" s="75">
        <f t="shared" si="5"/>
        <v>42.35192331880789</v>
      </c>
      <c r="AH32" s="75">
        <f t="shared" si="5"/>
        <v>-3.6257561056173686</v>
      </c>
      <c r="AI32" s="75">
        <f t="shared" si="5"/>
        <v>8.543803788639565</v>
      </c>
      <c r="AJ32" s="75">
        <f t="shared" si="5"/>
        <v>-2.375234847408385</v>
      </c>
      <c r="AK32" s="75">
        <f t="shared" si="5"/>
        <v>6.981533786531957</v>
      </c>
      <c r="AL32" s="75">
        <f t="shared" si="5"/>
        <v>-5.647033213885388</v>
      </c>
      <c r="AM32" s="111"/>
      <c r="AN32" s="40"/>
    </row>
    <row r="33" spans="1:40" ht="7.5" customHeight="1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99"/>
      <c r="U33" s="13"/>
      <c r="V33" s="35"/>
      <c r="W33" s="35"/>
      <c r="X33" s="35"/>
      <c r="Y33" s="35"/>
      <c r="Z33" s="35"/>
      <c r="AA33" s="35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111"/>
      <c r="AN33" s="40"/>
    </row>
    <row r="34" spans="1:40" ht="13.5">
      <c r="A34" s="60" t="s">
        <v>17</v>
      </c>
      <c r="B34" s="61">
        <v>2771.822407483402</v>
      </c>
      <c r="C34" s="61">
        <v>2912.0922022161035</v>
      </c>
      <c r="D34" s="61">
        <v>3189.9588444143947</v>
      </c>
      <c r="E34" s="61">
        <v>3536.9298639527865</v>
      </c>
      <c r="F34" s="61">
        <v>3837.1839999999997</v>
      </c>
      <c r="G34" s="61">
        <v>4124.774</v>
      </c>
      <c r="H34" s="61">
        <f aca="true" t="shared" si="6" ref="H34:M34">H30+H32</f>
        <v>3719.458</v>
      </c>
      <c r="I34" s="61">
        <f t="shared" si="6"/>
        <v>4402.099</v>
      </c>
      <c r="J34" s="61">
        <f t="shared" si="6"/>
        <v>5732.917999999999</v>
      </c>
      <c r="K34" s="61">
        <f t="shared" si="6"/>
        <v>6151.406999999999</v>
      </c>
      <c r="L34" s="61">
        <f t="shared" si="6"/>
        <v>6685.592000000001</v>
      </c>
      <c r="M34" s="61">
        <f t="shared" si="6"/>
        <v>7513.023</v>
      </c>
      <c r="N34" s="61">
        <f aca="true" t="shared" si="7" ref="N34:S34">N30+N32</f>
        <v>8388.432999999999</v>
      </c>
      <c r="O34" s="61">
        <f t="shared" si="7"/>
        <v>9319.859</v>
      </c>
      <c r="P34" s="61">
        <f t="shared" si="7"/>
        <v>9935.049</v>
      </c>
      <c r="Q34" s="61">
        <f t="shared" si="7"/>
        <v>10521.074</v>
      </c>
      <c r="R34" s="61">
        <f t="shared" si="7"/>
        <v>10688.184000000001</v>
      </c>
      <c r="S34" s="61">
        <f t="shared" si="7"/>
        <v>10810.583999999999</v>
      </c>
      <c r="T34" s="99">
        <f>T30+T32</f>
        <v>10091.757000000001</v>
      </c>
      <c r="U34" s="13"/>
      <c r="V34" s="35">
        <v>5.060562118049096</v>
      </c>
      <c r="W34" s="35">
        <v>9.541821580609106</v>
      </c>
      <c r="X34" s="35">
        <v>10.87697479689861</v>
      </c>
      <c r="Y34" s="35">
        <v>8.489117613196225</v>
      </c>
      <c r="Z34" s="35">
        <f aca="true" t="shared" si="8" ref="Z34:AM34">100*(G34-F34)/F34</f>
        <v>7.494819117352741</v>
      </c>
      <c r="AA34" s="35">
        <f t="shared" si="8"/>
        <v>-9.826380790802121</v>
      </c>
      <c r="AB34" s="68">
        <f t="shared" si="8"/>
        <v>18.353238563253033</v>
      </c>
      <c r="AC34" s="75">
        <f t="shared" si="8"/>
        <v>30.23146458087377</v>
      </c>
      <c r="AD34" s="75">
        <f t="shared" si="8"/>
        <v>7.299755552059189</v>
      </c>
      <c r="AE34" s="75">
        <f t="shared" si="8"/>
        <v>8.683948241434868</v>
      </c>
      <c r="AF34" s="75">
        <f t="shared" si="8"/>
        <v>12.376331071354631</v>
      </c>
      <c r="AG34" s="75">
        <f t="shared" si="8"/>
        <v>11.651900972484697</v>
      </c>
      <c r="AH34" s="75">
        <f t="shared" si="8"/>
        <v>11.103694814037393</v>
      </c>
      <c r="AI34" s="75">
        <f t="shared" si="8"/>
        <v>6.600850935620383</v>
      </c>
      <c r="AJ34" s="75">
        <f t="shared" si="8"/>
        <v>5.898561748412107</v>
      </c>
      <c r="AK34" s="75">
        <f t="shared" si="8"/>
        <v>1.5883359436498647</v>
      </c>
      <c r="AL34" s="75">
        <f t="shared" si="8"/>
        <v>1.1451898657433088</v>
      </c>
      <c r="AM34" s="111">
        <f t="shared" si="8"/>
        <v>-6.6492892520884865</v>
      </c>
      <c r="AN34" s="38"/>
    </row>
    <row r="35" spans="28:40" ht="13.5"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98"/>
      <c r="AN35" s="38"/>
    </row>
    <row r="36" spans="1:20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07"/>
    </row>
  </sheetData>
  <sheetProtection/>
  <printOptions/>
  <pageMargins left="0.5118110236220472" right="0.1968503937007874" top="0.6692913385826772" bottom="0.7480314960629921" header="0.5118110236220472" footer="0.4330708661417323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zoomScalePageLayoutView="0" workbookViewId="0" topLeftCell="A1">
      <pane xSplit="1" ySplit="10" topLeftCell="B1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7" sqref="A27"/>
    </sheetView>
  </sheetViews>
  <sheetFormatPr defaultColWidth="9.140625" defaultRowHeight="12.75"/>
  <cols>
    <col min="1" max="1" width="36.7109375" style="5" customWidth="1"/>
    <col min="2" max="2" width="5.00390625" style="5" customWidth="1"/>
    <col min="3" max="8" width="4.7109375" style="5" hidden="1" customWidth="1"/>
    <col min="9" max="9" width="5.140625" style="5" hidden="1" customWidth="1"/>
    <col min="10" max="19" width="5.140625" style="5" customWidth="1"/>
    <col min="20" max="20" width="5.140625" style="98" customWidth="1"/>
    <col min="21" max="21" width="2.00390625" style="5" customWidth="1"/>
    <col min="22" max="24" width="1.28515625" style="5" hidden="1" customWidth="1"/>
    <col min="25" max="27" width="4.140625" style="5" hidden="1" customWidth="1"/>
    <col min="28" max="28" width="4.8515625" style="5" hidden="1" customWidth="1"/>
    <col min="29" max="29" width="5.00390625" style="5" hidden="1" customWidth="1"/>
    <col min="30" max="37" width="5.00390625" style="5" customWidth="1"/>
    <col min="38" max="38" width="5.28125" style="5" customWidth="1"/>
    <col min="39" max="39" width="5.28125" style="98" customWidth="1"/>
    <col min="40" max="16384" width="9.140625" style="5" customWidth="1"/>
  </cols>
  <sheetData>
    <row r="1" spans="1:39" ht="13.5" customHeight="1">
      <c r="A1" s="31">
        <v>42683</v>
      </c>
      <c r="B1" s="11"/>
      <c r="C1" s="14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04"/>
      <c r="U1" s="1"/>
      <c r="V1" s="1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04"/>
    </row>
    <row r="2" spans="1:39" ht="19.5">
      <c r="A2" s="17" t="s">
        <v>106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86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04"/>
    </row>
    <row r="3" spans="1:39" ht="14.25">
      <c r="A3" s="105" t="s">
        <v>95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86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04"/>
    </row>
    <row r="4" spans="1:39" ht="14.25">
      <c r="A4" s="105" t="s">
        <v>112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86"/>
      <c r="U4" s="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04"/>
    </row>
    <row r="5" spans="1:39" ht="15">
      <c r="A5" s="2" t="s">
        <v>36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86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04"/>
    </row>
    <row r="6" spans="1:39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86"/>
      <c r="U6" s="3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04"/>
    </row>
    <row r="7" spans="2:39" ht="12.75">
      <c r="B7" s="58" t="s">
        <v>33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97"/>
      <c r="U7" s="10"/>
      <c r="V7" s="43" t="s">
        <v>35</v>
      </c>
      <c r="W7" s="37"/>
      <c r="X7" s="16"/>
      <c r="Y7" s="43" t="s">
        <v>35</v>
      </c>
      <c r="Z7" s="37"/>
      <c r="AA7" s="37"/>
      <c r="AD7" s="79" t="s">
        <v>35</v>
      </c>
      <c r="AE7" s="82"/>
      <c r="AF7" s="82"/>
      <c r="AG7" s="82"/>
      <c r="AH7" s="82"/>
      <c r="AI7" s="82"/>
      <c r="AJ7" s="82"/>
      <c r="AK7" s="82"/>
      <c r="AL7" s="82"/>
      <c r="AM7" s="114"/>
    </row>
    <row r="8" spans="2:39" ht="13.5">
      <c r="B8" s="59">
        <v>1997</v>
      </c>
      <c r="C8" s="59">
        <v>1998</v>
      </c>
      <c r="D8" s="59">
        <v>1999</v>
      </c>
      <c r="E8" s="59">
        <v>2000</v>
      </c>
      <c r="F8" s="59">
        <v>2001</v>
      </c>
      <c r="G8" s="59">
        <v>2002</v>
      </c>
      <c r="H8" s="59">
        <v>2003</v>
      </c>
      <c r="I8" s="59">
        <v>2004</v>
      </c>
      <c r="J8" s="59">
        <v>2005</v>
      </c>
      <c r="K8" s="59">
        <v>2006</v>
      </c>
      <c r="L8" s="59">
        <v>2007</v>
      </c>
      <c r="M8" s="59">
        <v>2008</v>
      </c>
      <c r="N8" s="59">
        <v>2009</v>
      </c>
      <c r="O8" s="59">
        <v>2010</v>
      </c>
      <c r="P8" s="59">
        <v>2011</v>
      </c>
      <c r="Q8" s="59">
        <v>2012</v>
      </c>
      <c r="R8" s="59">
        <v>2013</v>
      </c>
      <c r="S8" s="59">
        <v>2014</v>
      </c>
      <c r="T8" s="106">
        <v>2015</v>
      </c>
      <c r="U8" s="10"/>
      <c r="V8" s="33" t="s">
        <v>28</v>
      </c>
      <c r="W8" s="33" t="s">
        <v>29</v>
      </c>
      <c r="X8" s="33" t="s">
        <v>30</v>
      </c>
      <c r="Y8" s="33" t="s">
        <v>31</v>
      </c>
      <c r="Z8" s="42" t="s">
        <v>32</v>
      </c>
      <c r="AA8" s="42" t="s">
        <v>34</v>
      </c>
      <c r="AB8" s="81" t="s">
        <v>41</v>
      </c>
      <c r="AC8" s="81" t="s">
        <v>44</v>
      </c>
      <c r="AD8" s="81" t="s">
        <v>48</v>
      </c>
      <c r="AE8" s="81" t="s">
        <v>64</v>
      </c>
      <c r="AF8" s="81" t="s">
        <v>66</v>
      </c>
      <c r="AG8" s="81" t="s">
        <v>70</v>
      </c>
      <c r="AH8" s="81" t="s">
        <v>73</v>
      </c>
      <c r="AI8" s="81" t="s">
        <v>75</v>
      </c>
      <c r="AJ8" s="81" t="s">
        <v>77</v>
      </c>
      <c r="AK8" s="81" t="s">
        <v>82</v>
      </c>
      <c r="AL8" s="81" t="s">
        <v>84</v>
      </c>
      <c r="AM8" s="109" t="s">
        <v>94</v>
      </c>
    </row>
    <row r="9" spans="2:39" ht="13.5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106"/>
      <c r="U9" s="10"/>
      <c r="V9" s="33"/>
      <c r="W9" s="33"/>
      <c r="X9" s="33"/>
      <c r="Y9" s="33"/>
      <c r="Z9" s="42"/>
      <c r="AA9" s="42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109"/>
    </row>
    <row r="10" spans="2:39" ht="13.5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106"/>
      <c r="U10" s="10"/>
      <c r="V10" s="33"/>
      <c r="W10" s="33"/>
      <c r="X10" s="33"/>
      <c r="Y10" s="33"/>
      <c r="Z10" s="42"/>
      <c r="AA10" s="42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109"/>
    </row>
    <row r="11" spans="1:38" ht="13.5">
      <c r="A11" s="60" t="s">
        <v>111</v>
      </c>
      <c r="U11" s="3"/>
      <c r="V11" s="4"/>
      <c r="W11" s="4"/>
      <c r="X11" s="4"/>
      <c r="Y11" s="4"/>
      <c r="Z11" s="4"/>
      <c r="AA11" s="4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</row>
    <row r="12" spans="1:40" ht="18" customHeight="1">
      <c r="A12" s="5" t="s">
        <v>18</v>
      </c>
      <c r="B12" s="6">
        <v>87.92046665306734</v>
      </c>
      <c r="C12" s="6">
        <v>87.97892717302102</v>
      </c>
      <c r="D12" s="6">
        <v>90.28159704527451</v>
      </c>
      <c r="E12" s="6">
        <v>92.15504235812926</v>
      </c>
      <c r="F12" s="6">
        <v>104.43700000000001</v>
      </c>
      <c r="G12" s="6">
        <v>106.63099999999999</v>
      </c>
      <c r="H12" s="6">
        <f>27.085+0.366+74.969+0.936</f>
        <v>103.356</v>
      </c>
      <c r="I12" s="6">
        <f>72.385+0.914+26.584+0.682</f>
        <v>100.56500000000001</v>
      </c>
      <c r="J12" s="6">
        <f>67.6+0.506+27.721+0.41</f>
        <v>96.237</v>
      </c>
      <c r="K12" s="6">
        <f>26.08+0.308+66.88+0.471</f>
        <v>93.739</v>
      </c>
      <c r="L12" s="6">
        <f>29.423+0.299+67.222+0.47</f>
        <v>97.41399999999999</v>
      </c>
      <c r="M12" s="6">
        <f>70.066+0.427+28.431+0.272</f>
        <v>99.19600000000001</v>
      </c>
      <c r="N12" s="6">
        <f>67.993+0.451+25.481+0.482</f>
        <v>94.40699999999998</v>
      </c>
      <c r="O12" s="6">
        <f>66.313+0.373+25.374+0.686</f>
        <v>92.74600000000001</v>
      </c>
      <c r="P12" s="6">
        <f>71.402+0.369+27.781+0.573</f>
        <v>100.12499999999999</v>
      </c>
      <c r="Q12" s="6">
        <f>67.407+0.332+25.226+0.701</f>
        <v>93.66599999999998</v>
      </c>
      <c r="R12" s="6">
        <f>66.699+0.353+24.44+0.986</f>
        <v>92.478</v>
      </c>
      <c r="S12" s="6">
        <v>91.207</v>
      </c>
      <c r="T12" s="100">
        <f>67.927+27.411</f>
        <v>95.33800000000001</v>
      </c>
      <c r="U12" s="11"/>
      <c r="V12" s="34">
        <v>0.06649250416784985</v>
      </c>
      <c r="W12" s="34">
        <v>2.617297057652243</v>
      </c>
      <c r="X12" s="34">
        <v>2.075113172749102</v>
      </c>
      <c r="Y12" s="34">
        <v>13.3274938924569</v>
      </c>
      <c r="Z12" s="34">
        <f aca="true" t="shared" si="0" ref="Z12:AM25">100*(G12-F12)/F12</f>
        <v>2.1007880348918238</v>
      </c>
      <c r="AA12" s="34">
        <f t="shared" si="0"/>
        <v>-3.0713394791383295</v>
      </c>
      <c r="AB12" s="76">
        <f t="shared" si="0"/>
        <v>-2.70037540152481</v>
      </c>
      <c r="AC12" s="76">
        <f t="shared" si="0"/>
        <v>-4.303684184358392</v>
      </c>
      <c r="AD12" s="76">
        <f t="shared" si="0"/>
        <v>-2.595675260035112</v>
      </c>
      <c r="AE12" s="76">
        <f t="shared" si="0"/>
        <v>3.9204600006400567</v>
      </c>
      <c r="AF12" s="76">
        <f t="shared" si="0"/>
        <v>1.829305849261939</v>
      </c>
      <c r="AG12" s="76">
        <f t="shared" si="0"/>
        <v>-4.827815637727357</v>
      </c>
      <c r="AH12" s="76">
        <f t="shared" si="0"/>
        <v>-1.7594034340673608</v>
      </c>
      <c r="AI12" s="76">
        <f t="shared" si="0"/>
        <v>7.956138270114049</v>
      </c>
      <c r="AJ12" s="76">
        <f t="shared" si="0"/>
        <v>-6.450936329588019</v>
      </c>
      <c r="AK12" s="76">
        <f t="shared" si="0"/>
        <v>-1.2683364294407666</v>
      </c>
      <c r="AL12" s="76">
        <f t="shared" si="0"/>
        <v>-1.3743809338437258</v>
      </c>
      <c r="AM12" s="110">
        <f t="shared" si="0"/>
        <v>4.529257622770198</v>
      </c>
      <c r="AN12" s="8"/>
    </row>
    <row r="13" spans="1:40" ht="18" customHeight="1">
      <c r="A13" s="5" t="s">
        <v>19</v>
      </c>
      <c r="B13" s="6">
        <v>91.73112867938555</v>
      </c>
      <c r="C13" s="6">
        <v>95.4940885086992</v>
      </c>
      <c r="D13" s="6">
        <v>97.28662418239644</v>
      </c>
      <c r="E13" s="6">
        <v>102.4488162092796</v>
      </c>
      <c r="F13" s="6">
        <v>107.596</v>
      </c>
      <c r="G13" s="6">
        <v>111.07600000000001</v>
      </c>
      <c r="H13" s="6">
        <f>98.215+0.115+13.947+1.253</f>
        <v>113.53</v>
      </c>
      <c r="I13" s="6">
        <f>97.296+0.118+14.125+0.039</f>
        <v>111.578</v>
      </c>
      <c r="J13" s="6">
        <f>100.914+0.118+12.872+0.055</f>
        <v>113.959</v>
      </c>
      <c r="K13" s="6">
        <f>12.422+0.035+101.979+0.104</f>
        <v>114.54</v>
      </c>
      <c r="L13" s="6">
        <f>102.301+0.127+12.742+0.032</f>
        <v>115.202</v>
      </c>
      <c r="M13" s="6">
        <f>102.986+0.083+12.572+0.029</f>
        <v>115.67</v>
      </c>
      <c r="N13" s="6">
        <f>101.92+0.096+11.44+0.033</f>
        <v>113.489</v>
      </c>
      <c r="O13" s="6">
        <f>102.862+0.085+11.287+0.077</f>
        <v>114.31099999999999</v>
      </c>
      <c r="P13" s="6">
        <f>105.048+0.099+11.584+0.142</f>
        <v>116.873</v>
      </c>
      <c r="Q13" s="6">
        <f>103.587+0.074+10.996+0.136</f>
        <v>114.79299999999999</v>
      </c>
      <c r="R13" s="6">
        <f>100.679+0.139+10.738+0.131</f>
        <v>111.687</v>
      </c>
      <c r="S13" s="6">
        <v>108.887</v>
      </c>
      <c r="T13" s="100">
        <f>98.74+9.069</f>
        <v>107.809</v>
      </c>
      <c r="U13" s="11"/>
      <c r="V13" s="34">
        <v>4.102162355884428</v>
      </c>
      <c r="W13" s="34">
        <v>1.877116899790018</v>
      </c>
      <c r="X13" s="34">
        <v>5.306168314777682</v>
      </c>
      <c r="Y13" s="34">
        <v>5.024151553109097</v>
      </c>
      <c r="Z13" s="34">
        <f t="shared" si="0"/>
        <v>3.23432097847504</v>
      </c>
      <c r="AA13" s="34">
        <f t="shared" si="0"/>
        <v>2.2092981382116688</v>
      </c>
      <c r="AB13" s="76">
        <f t="shared" si="0"/>
        <v>-1.7193693296925907</v>
      </c>
      <c r="AC13" s="76">
        <f t="shared" si="0"/>
        <v>2.1339332126404846</v>
      </c>
      <c r="AD13" s="76">
        <f t="shared" si="0"/>
        <v>0.50983248361253</v>
      </c>
      <c r="AE13" s="76">
        <f t="shared" si="0"/>
        <v>0.5779640300331691</v>
      </c>
      <c r="AF13" s="76">
        <f t="shared" si="0"/>
        <v>0.40624294717105913</v>
      </c>
      <c r="AG13" s="76">
        <f t="shared" si="0"/>
        <v>-1.8855364398720476</v>
      </c>
      <c r="AH13" s="76">
        <f t="shared" si="0"/>
        <v>0.7242992712950053</v>
      </c>
      <c r="AI13" s="76">
        <f t="shared" si="0"/>
        <v>2.241254122525402</v>
      </c>
      <c r="AJ13" s="76">
        <f t="shared" si="0"/>
        <v>-1.7797095993086618</v>
      </c>
      <c r="AK13" s="76">
        <f t="shared" si="0"/>
        <v>-2.7057398970320445</v>
      </c>
      <c r="AL13" s="76">
        <f t="shared" si="0"/>
        <v>-2.5070061869331233</v>
      </c>
      <c r="AM13" s="110">
        <f t="shared" si="0"/>
        <v>-0.9900171737673028</v>
      </c>
      <c r="AN13" s="8"/>
    </row>
    <row r="14" spans="1:40" ht="18" customHeight="1">
      <c r="A14" s="5" t="s">
        <v>20</v>
      </c>
      <c r="B14" s="6">
        <v>265.74844335218256</v>
      </c>
      <c r="C14" s="6">
        <v>265.53714394962026</v>
      </c>
      <c r="D14" s="6">
        <v>257.468973532266</v>
      </c>
      <c r="E14" s="6">
        <v>259.10392836539836</v>
      </c>
      <c r="F14" s="6">
        <v>269.112</v>
      </c>
      <c r="G14" s="6">
        <v>281.624</v>
      </c>
      <c r="H14" s="6">
        <f>207.76+0.938+67.482+1.253</f>
        <v>277.43299999999994</v>
      </c>
      <c r="I14" s="6">
        <f>207.41+1.016+62.994+1.229</f>
        <v>272.64899999999994</v>
      </c>
      <c r="J14" s="6">
        <f>205.626+1.319+62.795+1.131</f>
        <v>270.871</v>
      </c>
      <c r="K14" s="6">
        <f>63.821+1.279+210.513+1.305</f>
        <v>276.918</v>
      </c>
      <c r="L14" s="6">
        <f>211.474+1.657+65.38+1.338</f>
        <v>279.849</v>
      </c>
      <c r="M14" s="6">
        <f>224.48+1.918+69.978+1.205</f>
        <v>297.58099999999996</v>
      </c>
      <c r="N14" s="6">
        <f>200.261+3.515+68.316+2.098</f>
        <v>274.19</v>
      </c>
      <c r="O14" s="6">
        <f>186.082+3.498+64.993+2.209</f>
        <v>256.782</v>
      </c>
      <c r="P14" s="6">
        <f>191.468+3.518+65.866+2.178</f>
        <v>263.03</v>
      </c>
      <c r="Q14" s="6">
        <f>195.675+3.732+65.719+2.331</f>
        <v>267.457</v>
      </c>
      <c r="R14" s="6">
        <f>202.436+4.038+62.752+2.664</f>
        <v>271.89</v>
      </c>
      <c r="S14" s="6">
        <v>266.387</v>
      </c>
      <c r="T14" s="100">
        <f>283.718+79.316</f>
        <v>363.034</v>
      </c>
      <c r="U14" s="11"/>
      <c r="V14" s="34">
        <v>-0.07951105936762902</v>
      </c>
      <c r="W14" s="34">
        <v>-3.038433831646934</v>
      </c>
      <c r="X14" s="34">
        <v>0.635010428908045</v>
      </c>
      <c r="Y14" s="34">
        <v>3.8625703970369347</v>
      </c>
      <c r="Z14" s="34">
        <f t="shared" si="0"/>
        <v>4.649365320015458</v>
      </c>
      <c r="AA14" s="34">
        <f t="shared" si="0"/>
        <v>-1.4881544186575317</v>
      </c>
      <c r="AB14" s="76">
        <f t="shared" si="0"/>
        <v>-1.724380300829387</v>
      </c>
      <c r="AC14" s="76">
        <f t="shared" si="0"/>
        <v>-0.6521204919144994</v>
      </c>
      <c r="AD14" s="76">
        <f t="shared" si="0"/>
        <v>2.2324279823236988</v>
      </c>
      <c r="AE14" s="76">
        <f t="shared" si="0"/>
        <v>1.0584360713279684</v>
      </c>
      <c r="AF14" s="76">
        <f t="shared" si="0"/>
        <v>6.336274205017696</v>
      </c>
      <c r="AG14" s="76">
        <f t="shared" si="0"/>
        <v>-7.860380871090549</v>
      </c>
      <c r="AH14" s="76">
        <f t="shared" si="0"/>
        <v>-6.348882162004455</v>
      </c>
      <c r="AI14" s="76">
        <f t="shared" si="0"/>
        <v>2.4331923577197743</v>
      </c>
      <c r="AJ14" s="76">
        <f t="shared" si="0"/>
        <v>1.6830779758962937</v>
      </c>
      <c r="AK14" s="76">
        <f t="shared" si="0"/>
        <v>1.6574626949378752</v>
      </c>
      <c r="AL14" s="76">
        <f t="shared" si="0"/>
        <v>-2.023980286145127</v>
      </c>
      <c r="AM14" s="110">
        <f t="shared" si="0"/>
        <v>36.280674357232144</v>
      </c>
      <c r="AN14" s="8"/>
    </row>
    <row r="15" spans="1:40" ht="18" customHeight="1">
      <c r="A15" s="5" t="s">
        <v>21</v>
      </c>
      <c r="B15" s="6">
        <v>24.00808473359992</v>
      </c>
      <c r="C15" s="6">
        <v>23.706836063579363</v>
      </c>
      <c r="D15" s="6">
        <v>25.292268569208492</v>
      </c>
      <c r="E15" s="6">
        <v>26.038182023065293</v>
      </c>
      <c r="F15" s="6">
        <v>27.85</v>
      </c>
      <c r="G15" s="6">
        <v>28.57</v>
      </c>
      <c r="H15" s="6">
        <f>18.93+0.477+9.614+0.056</f>
        <v>29.077</v>
      </c>
      <c r="I15" s="6">
        <f>17.148+0.479+9.923+0.049</f>
        <v>27.598999999999997</v>
      </c>
      <c r="J15" s="6">
        <f>17.101+0.449+9.473+0.049</f>
        <v>27.072000000000003</v>
      </c>
      <c r="K15" s="6">
        <f>9.292+0.057+16.925+0.571</f>
        <v>26.845000000000002</v>
      </c>
      <c r="L15" s="6">
        <f>18.058+0.499+9.523+0.084</f>
        <v>28.163999999999998</v>
      </c>
      <c r="M15" s="6">
        <f>19.029+0.487+10.653+0.107</f>
        <v>30.275999999999996</v>
      </c>
      <c r="N15" s="6">
        <f>18.626+0.496+9.463+0.112</f>
        <v>28.697</v>
      </c>
      <c r="O15" s="6">
        <f>18.109+0.482+10.046+0.266</f>
        <v>28.903</v>
      </c>
      <c r="P15" s="6">
        <f>18.882+0.48+10.644+0.569</f>
        <v>30.575</v>
      </c>
      <c r="Q15" s="6">
        <f>18.773+0.524+10.33+0.348</f>
        <v>29.975</v>
      </c>
      <c r="R15" s="6">
        <f>18.759+0.483+10.464+0.343</f>
        <v>30.049000000000003</v>
      </c>
      <c r="S15" s="6">
        <v>29.553</v>
      </c>
      <c r="T15" s="100">
        <f>24.702+11.257</f>
        <v>35.959</v>
      </c>
      <c r="U15" s="11"/>
      <c r="V15" s="34">
        <v>-1.2547801016336408</v>
      </c>
      <c r="W15" s="34">
        <v>6.687659632762285</v>
      </c>
      <c r="X15" s="34">
        <v>2.949175760235666</v>
      </c>
      <c r="Y15" s="34">
        <v>6.958312125361723</v>
      </c>
      <c r="Z15" s="34">
        <f t="shared" si="0"/>
        <v>2.585278276481145</v>
      </c>
      <c r="AA15" s="34">
        <f t="shared" si="0"/>
        <v>1.7745887294364768</v>
      </c>
      <c r="AB15" s="76">
        <f t="shared" si="0"/>
        <v>-5.083055335832462</v>
      </c>
      <c r="AC15" s="76">
        <f t="shared" si="0"/>
        <v>-1.9094894742562918</v>
      </c>
      <c r="AD15" s="76">
        <f t="shared" si="0"/>
        <v>-0.8385047281323887</v>
      </c>
      <c r="AE15" s="76">
        <f t="shared" si="0"/>
        <v>4.913391693052692</v>
      </c>
      <c r="AF15" s="76">
        <f t="shared" si="0"/>
        <v>7.4989348103962445</v>
      </c>
      <c r="AG15" s="76">
        <f t="shared" si="0"/>
        <v>-5.2153520940678995</v>
      </c>
      <c r="AH15" s="76">
        <f t="shared" si="0"/>
        <v>0.7178450709133343</v>
      </c>
      <c r="AI15" s="76">
        <f t="shared" si="0"/>
        <v>5.784866622841921</v>
      </c>
      <c r="AJ15" s="76">
        <f t="shared" si="0"/>
        <v>-1.9623875715453734</v>
      </c>
      <c r="AK15" s="76">
        <f t="shared" si="0"/>
        <v>0.24687239366138988</v>
      </c>
      <c r="AL15" s="76">
        <f t="shared" si="0"/>
        <v>-1.650637292422384</v>
      </c>
      <c r="AM15" s="110">
        <f t="shared" si="0"/>
        <v>21.676310357662512</v>
      </c>
      <c r="AN15" s="8"/>
    </row>
    <row r="16" spans="1:40" ht="18" customHeight="1">
      <c r="A16" s="5" t="s">
        <v>22</v>
      </c>
      <c r="B16" s="6">
        <v>478.99592045648876</v>
      </c>
      <c r="C16" s="6">
        <v>508.37515145134137</v>
      </c>
      <c r="D16" s="6">
        <v>530.747612151914</v>
      </c>
      <c r="E16" s="6">
        <v>581.6412786991673</v>
      </c>
      <c r="F16" s="6">
        <v>649.404</v>
      </c>
      <c r="G16" s="6">
        <v>721.0070000000001</v>
      </c>
      <c r="H16" s="6">
        <f>174.54+0.03+602.317+0.17</f>
        <v>777.0569999999999</v>
      </c>
      <c r="I16" s="6">
        <f>188.531+0.038+623.742+0.194</f>
        <v>812.5049999999999</v>
      </c>
      <c r="J16" s="6">
        <f>192.787+0.043+691.887+0.183</f>
        <v>884.9</v>
      </c>
      <c r="K16" s="6">
        <f>739.538+0.315+197.249+0.045</f>
        <v>937.147</v>
      </c>
      <c r="L16" s="6">
        <f>210.779+0.045+787.809+0.317</f>
        <v>998.9499999999999</v>
      </c>
      <c r="M16" s="6">
        <f>217.253+0.063+839.859+0.376</f>
        <v>1057.551</v>
      </c>
      <c r="N16" s="6">
        <f>234.597+0.059+787.562+0.379</f>
        <v>1022.5970000000001</v>
      </c>
      <c r="O16" s="6">
        <f>223.031+0.051+785.75+0.356</f>
        <v>1009.188</v>
      </c>
      <c r="P16" s="6">
        <f>236.701+0.029+834.985+0.036</f>
        <v>1071.751</v>
      </c>
      <c r="Q16" s="6">
        <f>240.252+0.034+848.055+0.063</f>
        <v>1088.404</v>
      </c>
      <c r="R16" s="6">
        <f>257.248+0.037+862.563+0.035</f>
        <v>1119.883</v>
      </c>
      <c r="S16" s="6">
        <v>1104.263</v>
      </c>
      <c r="T16" s="100">
        <f>280.572+1203.877</f>
        <v>1484.449</v>
      </c>
      <c r="U16" s="11"/>
      <c r="V16" s="34">
        <v>6.133503384925252</v>
      </c>
      <c r="W16" s="34">
        <v>4.400777779303801</v>
      </c>
      <c r="X16" s="34">
        <v>9.58905238233764</v>
      </c>
      <c r="Y16" s="34">
        <v>11.650260011184747</v>
      </c>
      <c r="Z16" s="34">
        <f t="shared" si="0"/>
        <v>11.025956107446222</v>
      </c>
      <c r="AA16" s="34">
        <f t="shared" si="0"/>
        <v>7.773849629753918</v>
      </c>
      <c r="AB16" s="76">
        <f t="shared" si="0"/>
        <v>4.561827510723149</v>
      </c>
      <c r="AC16" s="76">
        <f t="shared" si="0"/>
        <v>8.910099014775307</v>
      </c>
      <c r="AD16" s="76">
        <f t="shared" si="0"/>
        <v>5.904282969827107</v>
      </c>
      <c r="AE16" s="76">
        <f t="shared" si="0"/>
        <v>6.594803163217711</v>
      </c>
      <c r="AF16" s="76">
        <f t="shared" si="0"/>
        <v>5.866259572551179</v>
      </c>
      <c r="AG16" s="76">
        <f t="shared" si="0"/>
        <v>-3.305183390682798</v>
      </c>
      <c r="AH16" s="76">
        <f t="shared" si="0"/>
        <v>-1.3112692487852111</v>
      </c>
      <c r="AI16" s="76">
        <f t="shared" si="0"/>
        <v>6.199340459854853</v>
      </c>
      <c r="AJ16" s="76">
        <f t="shared" si="0"/>
        <v>1.5538124060532736</v>
      </c>
      <c r="AK16" s="76">
        <f t="shared" si="0"/>
        <v>2.8922164931404186</v>
      </c>
      <c r="AL16" s="76">
        <f t="shared" si="0"/>
        <v>-1.3947885627337961</v>
      </c>
      <c r="AM16" s="110">
        <f t="shared" si="0"/>
        <v>34.42893586038834</v>
      </c>
      <c r="AN16" s="8"/>
    </row>
    <row r="17" spans="1:40" ht="18" customHeight="1">
      <c r="A17" s="5" t="s">
        <v>23</v>
      </c>
      <c r="B17" s="6">
        <v>39.919122133596204</v>
      </c>
      <c r="C17" s="6">
        <v>40.76621256092604</v>
      </c>
      <c r="D17" s="6">
        <v>41.031462915403154</v>
      </c>
      <c r="E17" s="6">
        <v>41.83893315034487</v>
      </c>
      <c r="F17" s="6">
        <v>48.55</v>
      </c>
      <c r="G17" s="6">
        <v>50.81099999999999</v>
      </c>
      <c r="H17" s="6">
        <f>33.049+0.989+17.354+0.053</f>
        <v>51.44499999999999</v>
      </c>
      <c r="I17" s="6">
        <f>33.897+0.932+16.804+0.055</f>
        <v>51.687999999999995</v>
      </c>
      <c r="J17" s="6">
        <f>35.03+0.964+17.25+0.105</f>
        <v>53.349</v>
      </c>
      <c r="K17" s="6">
        <f>17.167+0.072+34.851+0.983</f>
        <v>53.073</v>
      </c>
      <c r="L17" s="6">
        <f>36.499+1.311+18.447+0.064</f>
        <v>56.321000000000005</v>
      </c>
      <c r="M17" s="6">
        <f>38.669+1.277+18.409+0.078</f>
        <v>58.433</v>
      </c>
      <c r="N17" s="6">
        <f>39.624+0.942+18.472+0.11</f>
        <v>59.148</v>
      </c>
      <c r="O17" s="6">
        <f>36.258+0.998+18.795+0.124</f>
        <v>56.175000000000004</v>
      </c>
      <c r="P17" s="6">
        <f>35.923+0.877+21.283+0.146</f>
        <v>58.229000000000006</v>
      </c>
      <c r="Q17" s="6">
        <f>35.816+0.755+16.692+0.127</f>
        <v>53.39000000000001</v>
      </c>
      <c r="R17" s="6">
        <f>37.319+0.652+16.604+0.125</f>
        <v>54.7</v>
      </c>
      <c r="S17" s="6">
        <v>54.837</v>
      </c>
      <c r="T17" s="100">
        <f>47.964+27.482</f>
        <v>75.446</v>
      </c>
      <c r="U17" s="11"/>
      <c r="V17" s="34">
        <v>2.1220166728489294</v>
      </c>
      <c r="W17" s="34">
        <v>0.6506622465373452</v>
      </c>
      <c r="X17" s="34">
        <v>1.967929431632804</v>
      </c>
      <c r="Y17" s="34">
        <v>16.040243725956017</v>
      </c>
      <c r="Z17" s="34">
        <f t="shared" si="0"/>
        <v>4.657054582904214</v>
      </c>
      <c r="AA17" s="34">
        <f t="shared" si="0"/>
        <v>1.2477613115270323</v>
      </c>
      <c r="AB17" s="76">
        <f t="shared" si="0"/>
        <v>0.47234911070075253</v>
      </c>
      <c r="AC17" s="76">
        <f t="shared" si="0"/>
        <v>3.2135118402724068</v>
      </c>
      <c r="AD17" s="76">
        <f t="shared" si="0"/>
        <v>-0.5173480290164694</v>
      </c>
      <c r="AE17" s="76">
        <f t="shared" si="0"/>
        <v>6.1198726282667355</v>
      </c>
      <c r="AF17" s="76">
        <f t="shared" si="0"/>
        <v>3.749933417375392</v>
      </c>
      <c r="AG17" s="76">
        <f t="shared" si="0"/>
        <v>1.2236236373282279</v>
      </c>
      <c r="AH17" s="76">
        <f t="shared" si="0"/>
        <v>-5.026374518157839</v>
      </c>
      <c r="AI17" s="76">
        <f t="shared" si="0"/>
        <v>3.656430796617716</v>
      </c>
      <c r="AJ17" s="76">
        <f t="shared" si="0"/>
        <v>-8.310292122481922</v>
      </c>
      <c r="AK17" s="76">
        <f t="shared" si="0"/>
        <v>2.4536430043079136</v>
      </c>
      <c r="AL17" s="76">
        <f t="shared" si="0"/>
        <v>0.2504570383912257</v>
      </c>
      <c r="AM17" s="110">
        <f t="shared" si="0"/>
        <v>37.58228933019676</v>
      </c>
      <c r="AN17" s="8"/>
    </row>
    <row r="18" spans="1:40" ht="18" customHeight="1">
      <c r="A18" s="5" t="s">
        <v>24</v>
      </c>
      <c r="B18" s="6">
        <v>37.01421110416778</v>
      </c>
      <c r="C18" s="6">
        <v>25.38266372756297</v>
      </c>
      <c r="D18" s="6">
        <v>27.56650571082104</v>
      </c>
      <c r="E18" s="6">
        <v>30.92774142115434</v>
      </c>
      <c r="F18" s="6">
        <v>30.284</v>
      </c>
      <c r="G18" s="6">
        <v>29.192999999999998</v>
      </c>
      <c r="H18" s="6">
        <f>19.11+5.032+5.789+0.053</f>
        <v>29.983999999999998</v>
      </c>
      <c r="I18" s="6">
        <f>18.387+4.335+6.129+0.054</f>
        <v>28.904999999999998</v>
      </c>
      <c r="J18" s="6">
        <f>19.604+4.933+6.49+0.059</f>
        <v>31.086000000000002</v>
      </c>
      <c r="K18" s="6">
        <f>6.847+0.063+20.861+4.161</f>
        <v>31.932000000000002</v>
      </c>
      <c r="L18" s="6">
        <f>19.068+3.982+6.615+0.078</f>
        <v>29.743</v>
      </c>
      <c r="M18" s="6">
        <f>23.424+4.586+7.653+0.119</f>
        <v>35.782</v>
      </c>
      <c r="N18" s="6">
        <f>18.541+3.423+6.034+0.106</f>
        <v>28.104</v>
      </c>
      <c r="O18" s="6">
        <f>22.627+4.556+6.779+0.535</f>
        <v>34.497</v>
      </c>
      <c r="P18" s="6">
        <f>25.541+4.035+8.592+0.495</f>
        <v>38.663</v>
      </c>
      <c r="Q18" s="6">
        <f>29.665+3.498+10.999+0.366</f>
        <v>44.528</v>
      </c>
      <c r="R18" s="6">
        <f>27.772+2.982+9.788+0.26</f>
        <v>40.802</v>
      </c>
      <c r="S18" s="6">
        <v>37.814</v>
      </c>
      <c r="T18" s="100">
        <f>36.167+10.042</f>
        <v>46.209</v>
      </c>
      <c r="U18" s="11"/>
      <c r="V18" s="34">
        <v>-31.424544869727352</v>
      </c>
      <c r="W18" s="34">
        <v>8.603675353767702</v>
      </c>
      <c r="X18" s="34">
        <v>12.193187434031113</v>
      </c>
      <c r="Y18" s="34">
        <v>-2.0814368963717076</v>
      </c>
      <c r="Z18" s="34">
        <f t="shared" si="0"/>
        <v>-3.602562409192977</v>
      </c>
      <c r="AA18" s="34">
        <f t="shared" si="0"/>
        <v>2.709553660124004</v>
      </c>
      <c r="AB18" s="76">
        <f t="shared" si="0"/>
        <v>-3.5985859124866617</v>
      </c>
      <c r="AC18" s="76">
        <f t="shared" si="0"/>
        <v>7.5454073689673224</v>
      </c>
      <c r="AD18" s="76">
        <f t="shared" si="0"/>
        <v>2.7214823393167342</v>
      </c>
      <c r="AE18" s="76">
        <f t="shared" si="0"/>
        <v>-6.855192283602667</v>
      </c>
      <c r="AF18" s="76">
        <f t="shared" si="0"/>
        <v>20.303937060821028</v>
      </c>
      <c r="AG18" s="76">
        <f t="shared" si="0"/>
        <v>-21.457716170141406</v>
      </c>
      <c r="AH18" s="76">
        <f t="shared" si="0"/>
        <v>22.747651579846288</v>
      </c>
      <c r="AI18" s="76">
        <f t="shared" si="0"/>
        <v>12.076412441661585</v>
      </c>
      <c r="AJ18" s="76">
        <f t="shared" si="0"/>
        <v>15.169541939321839</v>
      </c>
      <c r="AK18" s="76">
        <f t="shared" si="0"/>
        <v>-8.367768595041321</v>
      </c>
      <c r="AL18" s="76">
        <f t="shared" si="0"/>
        <v>-7.32317043282192</v>
      </c>
      <c r="AM18" s="110">
        <f t="shared" si="0"/>
        <v>22.20077220077221</v>
      </c>
      <c r="AN18" s="8"/>
    </row>
    <row r="19" spans="1:40" ht="18" customHeight="1">
      <c r="A19" s="5" t="s">
        <v>110</v>
      </c>
      <c r="B19" s="6">
        <v>444.24876179760173</v>
      </c>
      <c r="C19" s="6">
        <v>450.87407825746914</v>
      </c>
      <c r="D19" s="6">
        <v>443.48532476247664</v>
      </c>
      <c r="E19" s="6">
        <v>459.0591903769596</v>
      </c>
      <c r="F19" s="6">
        <v>485.76899999999995</v>
      </c>
      <c r="G19" s="6">
        <v>506.625</v>
      </c>
      <c r="H19" s="6">
        <f>337.917+113.038+89.283+0.708</f>
        <v>540.9459999999999</v>
      </c>
      <c r="I19" s="6">
        <f>337.01+110.423+90.58+0.836</f>
        <v>538.849</v>
      </c>
      <c r="J19" s="6">
        <f>343.823+110.696+94.597+1.101</f>
        <v>550.217</v>
      </c>
      <c r="K19" s="6">
        <f>104.759+1.141+371.73+79.929</f>
        <v>557.559</v>
      </c>
      <c r="L19" s="6">
        <f>392.261+83.828+106.436+1.421</f>
        <v>583.9460000000001</v>
      </c>
      <c r="M19" s="6">
        <f>423.05+100.77+118.09+1.592</f>
        <v>643.5020000000001</v>
      </c>
      <c r="N19" s="6">
        <f>412.3+95.008+116.897+1.374</f>
        <v>625.5790000000001</v>
      </c>
      <c r="O19" s="6">
        <f>427.042+99.706+125.552+7.649</f>
        <v>659.949</v>
      </c>
      <c r="P19" s="6">
        <f>461.07+102.677+131.932+8.003</f>
        <v>703.682</v>
      </c>
      <c r="Q19" s="6">
        <f>484.091+106.297+136.594+11.651</f>
        <v>738.6329999999999</v>
      </c>
      <c r="R19" s="6">
        <f>481.735+106.31+136.188+11.097</f>
        <v>735.33</v>
      </c>
      <c r="S19" s="6">
        <v>703.41</v>
      </c>
      <c r="T19" s="100">
        <f>282.292+339.539+53.925+63.583+71.348+9.249</f>
        <v>819.9359999999998</v>
      </c>
      <c r="U19" s="11"/>
      <c r="V19" s="34">
        <v>1.4913528251736305</v>
      </c>
      <c r="W19" s="34">
        <v>-1.638762095960015</v>
      </c>
      <c r="X19" s="34">
        <v>3.5116980754265192</v>
      </c>
      <c r="Y19" s="34">
        <v>5.818380327187749</v>
      </c>
      <c r="Z19" s="34">
        <f t="shared" si="0"/>
        <v>4.293398714203676</v>
      </c>
      <c r="AA19" s="34">
        <f t="shared" si="0"/>
        <v>6.774438687392038</v>
      </c>
      <c r="AB19" s="76">
        <f t="shared" si="0"/>
        <v>-0.3876542205691264</v>
      </c>
      <c r="AC19" s="76">
        <f t="shared" si="0"/>
        <v>2.109681933157515</v>
      </c>
      <c r="AD19" s="76">
        <f t="shared" si="0"/>
        <v>1.3343826163131973</v>
      </c>
      <c r="AE19" s="76">
        <f t="shared" si="0"/>
        <v>4.73259332196237</v>
      </c>
      <c r="AF19" s="76">
        <f t="shared" si="0"/>
        <v>10.19888825336588</v>
      </c>
      <c r="AG19" s="76">
        <f t="shared" si="0"/>
        <v>-2.785228328738683</v>
      </c>
      <c r="AH19" s="76">
        <f t="shared" si="0"/>
        <v>5.494110256258584</v>
      </c>
      <c r="AI19" s="76">
        <f t="shared" si="0"/>
        <v>6.626724186262888</v>
      </c>
      <c r="AJ19" s="76">
        <f t="shared" si="0"/>
        <v>4.966874241489751</v>
      </c>
      <c r="AK19" s="76">
        <f t="shared" si="0"/>
        <v>-0.4471774209925476</v>
      </c>
      <c r="AL19" s="76">
        <f t="shared" si="0"/>
        <v>-4.340908163681622</v>
      </c>
      <c r="AM19" s="110">
        <f t="shared" si="0"/>
        <v>16.565871966562863</v>
      </c>
      <c r="AN19" s="8"/>
    </row>
    <row r="20" spans="1:40" s="112" customFormat="1" ht="14.25" customHeight="1">
      <c r="A20" s="112" t="s">
        <v>107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02">
        <f>63.583+282.292</f>
        <v>345.875</v>
      </c>
      <c r="U20" s="116"/>
      <c r="V20" s="34"/>
      <c r="W20" s="34"/>
      <c r="X20" s="34"/>
      <c r="Y20" s="34"/>
      <c r="Z20" s="34"/>
      <c r="AA20" s="34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110"/>
      <c r="AN20" s="117"/>
    </row>
    <row r="21" spans="1:40" s="112" customFormat="1" ht="14.25" customHeight="1">
      <c r="A21" s="112" t="s">
        <v>108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02">
        <f>339.539+71.348</f>
        <v>410.887</v>
      </c>
      <c r="U21" s="116"/>
      <c r="V21" s="34"/>
      <c r="W21" s="34"/>
      <c r="X21" s="34"/>
      <c r="Y21" s="34"/>
      <c r="Z21" s="34"/>
      <c r="AA21" s="34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110"/>
      <c r="AN21" s="117"/>
    </row>
    <row r="22" spans="1:40" s="112" customFormat="1" ht="14.25" customHeight="1">
      <c r="A22" s="112" t="s">
        <v>109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02">
        <f>53.925+9.249</f>
        <v>63.174</v>
      </c>
      <c r="U22" s="116"/>
      <c r="V22" s="34"/>
      <c r="W22" s="34"/>
      <c r="X22" s="34"/>
      <c r="Y22" s="34"/>
      <c r="Z22" s="34"/>
      <c r="AA22" s="34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110"/>
      <c r="AN22" s="117"/>
    </row>
    <row r="23" spans="1:40" ht="18" customHeight="1">
      <c r="A23" s="5" t="s">
        <v>25</v>
      </c>
      <c r="B23" s="6">
        <v>196.21448415191122</v>
      </c>
      <c r="C23" s="6">
        <v>190.0075060031428</v>
      </c>
      <c r="D23" s="6">
        <v>200.43678404502054</v>
      </c>
      <c r="E23" s="6">
        <v>199.79228791082</v>
      </c>
      <c r="F23" s="6">
        <v>211.714</v>
      </c>
      <c r="G23" s="6">
        <v>206.49699999999996</v>
      </c>
      <c r="H23" s="6">
        <f>123.388+2.734+73.295+0.424</f>
        <v>199.841</v>
      </c>
      <c r="I23" s="6">
        <f>116.04+2.415+76.138+0.356</f>
        <v>194.949</v>
      </c>
      <c r="J23" s="6">
        <f>108.802+2.296+75.246+0.574</f>
        <v>186.918</v>
      </c>
      <c r="K23" s="6">
        <f>72.161+0.455+111.107+1.974</f>
        <v>185.697</v>
      </c>
      <c r="L23" s="6">
        <f>117.575+2.146+75.332+0.508</f>
        <v>195.561</v>
      </c>
      <c r="M23" s="6">
        <f>127.215+3.178+80.54+0.683</f>
        <v>211.61599999999999</v>
      </c>
      <c r="N23" s="6">
        <f>117.962+1.642+75.017+0.64</f>
        <v>195.26099999999997</v>
      </c>
      <c r="O23" s="6">
        <f>115.261+1.847+72.406+1.454</f>
        <v>190.96800000000002</v>
      </c>
      <c r="P23" s="6">
        <f>125.975+2.395+74.805+2.616</f>
        <v>205.79100000000003</v>
      </c>
      <c r="Q23" s="6">
        <f>121.302+2.237+71.208+2.069</f>
        <v>196.816</v>
      </c>
      <c r="R23" s="6">
        <f>121.466+2.274+67.198+3.176</f>
        <v>194.11399999999998</v>
      </c>
      <c r="S23" s="6">
        <v>198.953</v>
      </c>
      <c r="T23" s="100">
        <f>149.914+76.499</f>
        <v>226.41299999999998</v>
      </c>
      <c r="U23" s="11"/>
      <c r="V23" s="34">
        <v>-3.163363895176527</v>
      </c>
      <c r="W23" s="34">
        <v>5.488876866635598</v>
      </c>
      <c r="X23" s="34">
        <v>-0.3215458366443305</v>
      </c>
      <c r="Y23" s="34">
        <v>5.967053190011731</v>
      </c>
      <c r="Z23" s="34">
        <f t="shared" si="0"/>
        <v>-2.464173365955979</v>
      </c>
      <c r="AA23" s="34">
        <f t="shared" si="0"/>
        <v>-3.2232913795357563</v>
      </c>
      <c r="AB23" s="76">
        <f t="shared" si="0"/>
        <v>-2.4479461171631427</v>
      </c>
      <c r="AC23" s="76">
        <f t="shared" si="0"/>
        <v>-4.1195389563424305</v>
      </c>
      <c r="AD23" s="76">
        <f t="shared" si="0"/>
        <v>-0.6532276185279126</v>
      </c>
      <c r="AE23" s="76">
        <f t="shared" si="0"/>
        <v>5.311879028740369</v>
      </c>
      <c r="AF23" s="76">
        <f t="shared" si="0"/>
        <v>8.209714615899886</v>
      </c>
      <c r="AG23" s="76">
        <f t="shared" si="0"/>
        <v>-7.728621654317263</v>
      </c>
      <c r="AH23" s="76">
        <f t="shared" si="0"/>
        <v>-2.1985957257209328</v>
      </c>
      <c r="AI23" s="76">
        <f t="shared" si="0"/>
        <v>7.762033429684557</v>
      </c>
      <c r="AJ23" s="76">
        <f t="shared" si="0"/>
        <v>-4.361220850280149</v>
      </c>
      <c r="AK23" s="76">
        <f t="shared" si="0"/>
        <v>-1.3728558653768121</v>
      </c>
      <c r="AL23" s="76">
        <f t="shared" si="0"/>
        <v>2.492865017463979</v>
      </c>
      <c r="AM23" s="110">
        <f t="shared" si="0"/>
        <v>13.802254803898398</v>
      </c>
      <c r="AN23" s="8"/>
    </row>
    <row r="24" spans="1:40" ht="18" customHeight="1">
      <c r="A24" s="5" t="s">
        <v>26</v>
      </c>
      <c r="B24" s="6">
        <v>94.36010527679119</v>
      </c>
      <c r="C24" s="6">
        <v>86.34523928759907</v>
      </c>
      <c r="D24" s="6">
        <v>105.49453136957112</v>
      </c>
      <c r="E24" s="6">
        <v>110.03308256513498</v>
      </c>
      <c r="F24" s="6">
        <v>112.445</v>
      </c>
      <c r="G24" s="6">
        <v>115.374</v>
      </c>
      <c r="H24" s="6">
        <f>78.622+13.323+15.626+0.107</f>
        <v>107.678</v>
      </c>
      <c r="I24" s="6">
        <f>79.428+15.319+16.695+0.1</f>
        <v>111.542</v>
      </c>
      <c r="J24" s="6">
        <f>77.672+13.885+17.067+0.089</f>
        <v>108.713</v>
      </c>
      <c r="K24" s="6">
        <f>17.585+0.052+88.626+11.988</f>
        <v>118.251</v>
      </c>
      <c r="L24" s="6">
        <f>90.211+12.848+18.579+0.069</f>
        <v>121.70700000000001</v>
      </c>
      <c r="M24" s="6">
        <f>95.371+12.578+21.027+0.137</f>
        <v>129.113</v>
      </c>
      <c r="N24" s="6">
        <f>79.896+9.221+19.617+0.178</f>
        <v>108.912</v>
      </c>
      <c r="O24" s="6">
        <f>83.236+8.438+20.523+0.646</f>
        <v>112.843</v>
      </c>
      <c r="P24" s="6">
        <f>84.219+8.836+20.005+0.443</f>
        <v>113.50299999999999</v>
      </c>
      <c r="Q24" s="6">
        <f>89.523+8.156+18.96+0.812</f>
        <v>117.45100000000001</v>
      </c>
      <c r="R24" s="6">
        <f>82.445+8.377+19.532+2.858</f>
        <v>113.21199999999999</v>
      </c>
      <c r="S24" s="6">
        <v>109.077</v>
      </c>
      <c r="T24" s="100">
        <f>121.508+22.138</f>
        <v>143.646</v>
      </c>
      <c r="U24" s="11"/>
      <c r="V24" s="34">
        <v>-8.493913784519117</v>
      </c>
      <c r="W24" s="34">
        <v>22.17758875876122</v>
      </c>
      <c r="X24" s="34">
        <v>4.302167265584874</v>
      </c>
      <c r="Y24" s="34">
        <v>2.1919929703298675</v>
      </c>
      <c r="Z24" s="34">
        <f t="shared" si="0"/>
        <v>2.6048290275245694</v>
      </c>
      <c r="AA24" s="34">
        <f t="shared" si="0"/>
        <v>-6.670480350858944</v>
      </c>
      <c r="AB24" s="76">
        <f t="shared" si="0"/>
        <v>3.588476754768852</v>
      </c>
      <c r="AC24" s="76">
        <f t="shared" si="0"/>
        <v>-2.536264366785612</v>
      </c>
      <c r="AD24" s="76">
        <f t="shared" si="0"/>
        <v>8.773559739865528</v>
      </c>
      <c r="AE24" s="76">
        <f t="shared" si="0"/>
        <v>2.9225968490752745</v>
      </c>
      <c r="AF24" s="76">
        <f t="shared" si="0"/>
        <v>6.085106033342365</v>
      </c>
      <c r="AG24" s="76">
        <f t="shared" si="0"/>
        <v>-15.645984525183362</v>
      </c>
      <c r="AH24" s="76">
        <f t="shared" si="0"/>
        <v>3.609335977670043</v>
      </c>
      <c r="AI24" s="76">
        <f t="shared" si="0"/>
        <v>0.5848834220997159</v>
      </c>
      <c r="AJ24" s="76">
        <f t="shared" si="0"/>
        <v>3.4783221588856876</v>
      </c>
      <c r="AK24" s="76">
        <f t="shared" si="0"/>
        <v>-3.609164672927449</v>
      </c>
      <c r="AL24" s="76">
        <f t="shared" si="0"/>
        <v>-3.652439670706278</v>
      </c>
      <c r="AM24" s="110">
        <f t="shared" si="0"/>
        <v>31.69229076707279</v>
      </c>
      <c r="AN24" s="8"/>
    </row>
    <row r="25" spans="1:40" ht="18" customHeight="1">
      <c r="A25" s="5" t="s">
        <v>27</v>
      </c>
      <c r="B25" s="6">
        <v>171.31582012581146</v>
      </c>
      <c r="C25" s="6">
        <v>151.23497151869284</v>
      </c>
      <c r="D25" s="6">
        <v>140.79499069079827</v>
      </c>
      <c r="E25" s="6">
        <v>172.78921175364508</v>
      </c>
      <c r="F25" s="6">
        <v>160.994</v>
      </c>
      <c r="G25" s="6">
        <v>161.59799999999998</v>
      </c>
      <c r="H25" s="6">
        <f>100.887+12.094+59.453+3.538</f>
        <v>175.972</v>
      </c>
      <c r="I25" s="6">
        <f>104.044+12.183+62.613+3.433</f>
        <v>182.273</v>
      </c>
      <c r="J25" s="6">
        <f>101.705+12.717+56.021+2.824</f>
        <v>173.267</v>
      </c>
      <c r="K25" s="6">
        <f>65.95+3.542+104.456+11.672</f>
        <v>185.62</v>
      </c>
      <c r="L25" s="6">
        <f>104.918+9.721+61.369+3.457</f>
        <v>179.465</v>
      </c>
      <c r="M25" s="6">
        <f>110.876+10.93+62.585+4.511</f>
        <v>188.90200000000002</v>
      </c>
      <c r="N25" s="6">
        <f>102.683+8.347+62.707+5.082</f>
        <v>178.819</v>
      </c>
      <c r="O25" s="6">
        <f>99.377+20.696+85.85+19.978</f>
        <v>225.901</v>
      </c>
      <c r="P25" s="6">
        <f>98.716+19.589+89.34+20.6</f>
        <v>228.24499999999998</v>
      </c>
      <c r="Q25" s="6">
        <f>103.81+6.916+88.085+16.041</f>
        <v>214.85199999999998</v>
      </c>
      <c r="R25" s="6">
        <f>102.554+6.81+87.568+13.181</f>
        <v>210.11300000000003</v>
      </c>
      <c r="S25" s="6">
        <v>218.543</v>
      </c>
      <c r="T25" s="100">
        <f>123.415+133.62</f>
        <v>257.035</v>
      </c>
      <c r="U25" s="11"/>
      <c r="V25" s="34">
        <v>-11.721537796317685</v>
      </c>
      <c r="W25" s="34">
        <v>-6.9031525731495105</v>
      </c>
      <c r="X25" s="34">
        <v>22.723976830333214</v>
      </c>
      <c r="Y25" s="34">
        <v>-6.826358910915195</v>
      </c>
      <c r="Z25" s="34">
        <f t="shared" si="0"/>
        <v>0.37516926096623787</v>
      </c>
      <c r="AA25" s="34">
        <f t="shared" si="0"/>
        <v>8.894912065743403</v>
      </c>
      <c r="AB25" s="76">
        <f t="shared" si="0"/>
        <v>3.5806832905234853</v>
      </c>
      <c r="AC25" s="76">
        <f t="shared" si="0"/>
        <v>-4.940940237994656</v>
      </c>
      <c r="AD25" s="76">
        <f t="shared" si="0"/>
        <v>7.129459158408704</v>
      </c>
      <c r="AE25" s="76">
        <f t="shared" si="0"/>
        <v>-3.3159142333800244</v>
      </c>
      <c r="AF25" s="76">
        <f t="shared" si="0"/>
        <v>5.258406931713711</v>
      </c>
      <c r="AG25" s="76">
        <f t="shared" si="0"/>
        <v>-5.337688325163326</v>
      </c>
      <c r="AH25" s="76">
        <f t="shared" si="0"/>
        <v>26.329416896414827</v>
      </c>
      <c r="AI25" s="76">
        <f t="shared" si="0"/>
        <v>1.0376226754197482</v>
      </c>
      <c r="AJ25" s="76">
        <f t="shared" si="0"/>
        <v>-5.867817476834105</v>
      </c>
      <c r="AK25" s="76">
        <f t="shared" si="0"/>
        <v>-2.205704391860419</v>
      </c>
      <c r="AL25" s="76">
        <f t="shared" si="0"/>
        <v>4.012126807955708</v>
      </c>
      <c r="AM25" s="110">
        <f t="shared" si="0"/>
        <v>17.613009796699053</v>
      </c>
      <c r="AN25" s="8"/>
    </row>
    <row r="26" spans="2:39" ht="7.5" customHeight="1">
      <c r="B26" s="6"/>
      <c r="C26" s="6"/>
      <c r="D26" s="6"/>
      <c r="E26" s="6"/>
      <c r="F26" s="62"/>
      <c r="G26" s="62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00"/>
      <c r="U26" s="11"/>
      <c r="V26" s="34"/>
      <c r="W26" s="34"/>
      <c r="X26" s="34"/>
      <c r="Y26" s="34"/>
      <c r="Z26" s="34"/>
      <c r="AA26" s="34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110"/>
    </row>
    <row r="27" spans="1:40" ht="13.5" customHeight="1">
      <c r="A27" s="60" t="s">
        <v>101</v>
      </c>
      <c r="B27" s="61">
        <v>1931.4765484646036</v>
      </c>
      <c r="C27" s="61">
        <v>1925.702818501654</v>
      </c>
      <c r="D27" s="61">
        <v>1959.8866749751505</v>
      </c>
      <c r="E27" s="61">
        <v>2075.8276948330986</v>
      </c>
      <c r="F27" s="61">
        <v>2208.155</v>
      </c>
      <c r="G27" s="61">
        <v>2319.006</v>
      </c>
      <c r="H27" s="61">
        <f aca="true" t="shared" si="1" ref="H27:M27">SUM(H12:H25)</f>
        <v>2406.319</v>
      </c>
      <c r="I27" s="61">
        <f t="shared" si="1"/>
        <v>2433.102</v>
      </c>
      <c r="J27" s="61">
        <f t="shared" si="1"/>
        <v>2496.589</v>
      </c>
      <c r="K27" s="61">
        <f t="shared" si="1"/>
        <v>2581.3210000000004</v>
      </c>
      <c r="L27" s="61">
        <f t="shared" si="1"/>
        <v>2686.322</v>
      </c>
      <c r="M27" s="61">
        <f t="shared" si="1"/>
        <v>2867.622</v>
      </c>
      <c r="N27" s="61">
        <f aca="true" t="shared" si="2" ref="N27:S27">SUM(N12:N25)</f>
        <v>2729.203</v>
      </c>
      <c r="O27" s="61">
        <f t="shared" si="2"/>
        <v>2782.2629999999995</v>
      </c>
      <c r="P27" s="61">
        <f t="shared" si="2"/>
        <v>2930.467</v>
      </c>
      <c r="Q27" s="61">
        <f t="shared" si="2"/>
        <v>2959.9649999999997</v>
      </c>
      <c r="R27" s="61">
        <f t="shared" si="2"/>
        <v>2974.258</v>
      </c>
      <c r="S27" s="61">
        <f t="shared" si="2"/>
        <v>2922.931</v>
      </c>
      <c r="T27" s="99">
        <f>SUM(T12:T25)-T19</f>
        <v>3655.2739999999994</v>
      </c>
      <c r="U27" s="13"/>
      <c r="V27" s="35">
        <v>-0.29892829750065086</v>
      </c>
      <c r="W27" s="35">
        <v>1</v>
      </c>
      <c r="X27" s="35">
        <v>5.915700195237975</v>
      </c>
      <c r="Y27" s="35">
        <v>6.374676737201016</v>
      </c>
      <c r="Z27" s="35">
        <f aca="true" t="shared" si="3" ref="Z27:AM27">100*(G27-F27)/F27</f>
        <v>5.020073319128397</v>
      </c>
      <c r="AA27" s="35">
        <f t="shared" si="3"/>
        <v>3.7651045318554632</v>
      </c>
      <c r="AB27" s="75">
        <f t="shared" si="3"/>
        <v>1.1130278238255154</v>
      </c>
      <c r="AC27" s="75">
        <f t="shared" si="3"/>
        <v>2.609302857011341</v>
      </c>
      <c r="AD27" s="75">
        <f t="shared" si="3"/>
        <v>3.3939106516931874</v>
      </c>
      <c r="AE27" s="75">
        <f t="shared" si="3"/>
        <v>4.0677234640712925</v>
      </c>
      <c r="AF27" s="75">
        <f t="shared" si="3"/>
        <v>6.749004773068891</v>
      </c>
      <c r="AG27" s="75">
        <f t="shared" si="3"/>
        <v>-4.826961154573367</v>
      </c>
      <c r="AH27" s="75">
        <f t="shared" si="3"/>
        <v>1.9441573235849254</v>
      </c>
      <c r="AI27" s="75">
        <f t="shared" si="3"/>
        <v>5.326743014589227</v>
      </c>
      <c r="AJ27" s="75">
        <f t="shared" si="3"/>
        <v>1.0065972420095362</v>
      </c>
      <c r="AK27" s="75">
        <f t="shared" si="3"/>
        <v>0.4828773313198001</v>
      </c>
      <c r="AL27" s="75">
        <f t="shared" si="3"/>
        <v>-1.7257077227328554</v>
      </c>
      <c r="AM27" s="111">
        <f t="shared" si="3"/>
        <v>25.055090250163257</v>
      </c>
      <c r="AN27" s="9"/>
    </row>
    <row r="28" spans="3:38" ht="7.5" customHeight="1">
      <c r="C28" s="6"/>
      <c r="D28" s="6"/>
      <c r="E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00"/>
      <c r="U28" s="11"/>
      <c r="V28" s="4"/>
      <c r="W28" s="4"/>
      <c r="X28" s="4"/>
      <c r="Y28" s="4"/>
      <c r="Z28" s="4"/>
      <c r="AA28" s="4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</row>
    <row r="29" spans="1:39" ht="14.25" customHeight="1">
      <c r="A29" s="60" t="s">
        <v>50</v>
      </c>
      <c r="B29" s="61">
        <v>409.88053611583445</v>
      </c>
      <c r="C29" s="61">
        <v>437.31165054585387</v>
      </c>
      <c r="D29" s="61">
        <v>433.3765576304339</v>
      </c>
      <c r="E29" s="61">
        <v>458.10506027014344</v>
      </c>
      <c r="F29" s="61">
        <v>551.072</v>
      </c>
      <c r="G29" s="61">
        <v>559.358</v>
      </c>
      <c r="H29" s="61">
        <v>586</v>
      </c>
      <c r="I29" s="61">
        <f>605.916-17.76+74.048</f>
        <v>662.2040000000001</v>
      </c>
      <c r="J29" s="61">
        <f>611.775+3.028+96.125</f>
        <v>710.928</v>
      </c>
      <c r="K29" s="61">
        <f>103.534+699.697+9.331</f>
        <v>812.562</v>
      </c>
      <c r="L29" s="61">
        <f>111.959+0.579+698.84-5.782</f>
        <v>805.596</v>
      </c>
      <c r="M29" s="61">
        <f>872.281-10.945+310.717+0.162</f>
        <v>1172.215</v>
      </c>
      <c r="N29" s="61">
        <f>868.353+12.567+495.458+1.288</f>
        <v>1377.666</v>
      </c>
      <c r="O29" s="61">
        <f>498.846-1.319+942.262-8.749</f>
        <v>1431.04</v>
      </c>
      <c r="P29" s="61">
        <f>1003.643-20.071+529.78</f>
        <v>1513.3519999999999</v>
      </c>
      <c r="Q29" s="61">
        <v>1589.899</v>
      </c>
      <c r="R29" s="61">
        <f>1029.663-3.118+585.458-0.265</f>
        <v>1611.738</v>
      </c>
      <c r="S29" s="61">
        <v>1532.495</v>
      </c>
      <c r="T29" s="99"/>
      <c r="U29" s="13"/>
      <c r="V29" s="35">
        <v>6.692465734032132</v>
      </c>
      <c r="W29" s="35">
        <v>-0.8998372008859465</v>
      </c>
      <c r="X29" s="35">
        <v>5.70600836716161</v>
      </c>
      <c r="Y29" s="35">
        <v>20.293803276269028</v>
      </c>
      <c r="Z29" s="35">
        <f aca="true" t="shared" si="4" ref="Z29:AL29">100*(G29-F29)/F29</f>
        <v>1.5036147726612756</v>
      </c>
      <c r="AA29" s="35">
        <f t="shared" si="4"/>
        <v>4.762960393880137</v>
      </c>
      <c r="AB29" s="75">
        <f t="shared" si="4"/>
        <v>13.004095563139943</v>
      </c>
      <c r="AC29" s="75">
        <f t="shared" si="4"/>
        <v>7.357853471135772</v>
      </c>
      <c r="AD29" s="75">
        <f t="shared" si="4"/>
        <v>14.295962460333538</v>
      </c>
      <c r="AE29" s="75">
        <f t="shared" si="4"/>
        <v>-0.8572884284522299</v>
      </c>
      <c r="AF29" s="75">
        <f t="shared" si="4"/>
        <v>45.509039270304214</v>
      </c>
      <c r="AG29" s="75">
        <f t="shared" si="4"/>
        <v>17.52673357703152</v>
      </c>
      <c r="AH29" s="75">
        <f t="shared" si="4"/>
        <v>3.874233667666911</v>
      </c>
      <c r="AI29" s="75">
        <f t="shared" si="4"/>
        <v>5.751900715563499</v>
      </c>
      <c r="AJ29" s="75">
        <f t="shared" si="4"/>
        <v>5.058109415390473</v>
      </c>
      <c r="AK29" s="75">
        <f t="shared" si="4"/>
        <v>1.3736092670037638</v>
      </c>
      <c r="AL29" s="75">
        <f t="shared" si="4"/>
        <v>-4.916617961480102</v>
      </c>
      <c r="AM29" s="111"/>
    </row>
    <row r="30" spans="1:38" ht="7.5" customHeight="1">
      <c r="A30" s="60"/>
      <c r="C30" s="6"/>
      <c r="D30" s="6"/>
      <c r="E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00"/>
      <c r="U30" s="11"/>
      <c r="V30" s="4"/>
      <c r="W30" s="4"/>
      <c r="X30" s="4"/>
      <c r="Y30" s="4"/>
      <c r="Z30" s="4"/>
      <c r="AA30" s="4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</row>
    <row r="31" spans="1:39" ht="14.25" customHeight="1">
      <c r="A31" s="60" t="s">
        <v>45</v>
      </c>
      <c r="B31" s="61">
        <v>2341.357084580438</v>
      </c>
      <c r="C31" s="61">
        <v>2363.014469047508</v>
      </c>
      <c r="D31" s="61">
        <v>2393.2632326055846</v>
      </c>
      <c r="E31" s="61">
        <v>2533.932755103242</v>
      </c>
      <c r="F31" s="61">
        <f aca="true" t="shared" si="5" ref="F31:K31">F27+F29</f>
        <v>2759.2270000000003</v>
      </c>
      <c r="G31" s="61">
        <f t="shared" si="5"/>
        <v>2878.3639999999996</v>
      </c>
      <c r="H31" s="61">
        <f t="shared" si="5"/>
        <v>2992.319</v>
      </c>
      <c r="I31" s="61">
        <f t="shared" si="5"/>
        <v>3095.306</v>
      </c>
      <c r="J31" s="61">
        <f t="shared" si="5"/>
        <v>3207.517</v>
      </c>
      <c r="K31" s="61">
        <f t="shared" si="5"/>
        <v>3393.8830000000003</v>
      </c>
      <c r="L31" s="61">
        <f aca="true" t="shared" si="6" ref="L31:Q31">L27+L29</f>
        <v>3491.918</v>
      </c>
      <c r="M31" s="61">
        <f t="shared" si="6"/>
        <v>4039.8369999999995</v>
      </c>
      <c r="N31" s="61">
        <f t="shared" si="6"/>
        <v>4106.869</v>
      </c>
      <c r="O31" s="61">
        <f t="shared" si="6"/>
        <v>4213.303</v>
      </c>
      <c r="P31" s="61">
        <f t="shared" si="6"/>
        <v>4443.8189999999995</v>
      </c>
      <c r="Q31" s="61">
        <f t="shared" si="6"/>
        <v>4549.864</v>
      </c>
      <c r="R31" s="61">
        <f>R27+R29</f>
        <v>4585.996</v>
      </c>
      <c r="S31" s="61">
        <f>S27+S29</f>
        <v>4455.4259999999995</v>
      </c>
      <c r="T31" s="99">
        <f>T27+T29</f>
        <v>3655.2739999999994</v>
      </c>
      <c r="U31" s="13"/>
      <c r="V31" s="35">
        <v>0.9249928005300869</v>
      </c>
      <c r="W31" s="35">
        <v>1.2800921853969534</v>
      </c>
      <c r="X31" s="35">
        <v>5.87772880898305</v>
      </c>
      <c r="Y31" s="35">
        <v>8.891090122380891</v>
      </c>
      <c r="Z31" s="35">
        <f aca="true" t="shared" si="7" ref="Z31:AM31">100*(G31-F31)/F31</f>
        <v>4.317767258728595</v>
      </c>
      <c r="AA31" s="35">
        <f t="shared" si="7"/>
        <v>3.959019776511949</v>
      </c>
      <c r="AB31" s="75">
        <f t="shared" si="7"/>
        <v>3.441711929777543</v>
      </c>
      <c r="AC31" s="75">
        <f t="shared" si="7"/>
        <v>3.625198930251154</v>
      </c>
      <c r="AD31" s="75">
        <f t="shared" si="7"/>
        <v>5.810288768539666</v>
      </c>
      <c r="AE31" s="75">
        <f t="shared" si="7"/>
        <v>2.888579246839088</v>
      </c>
      <c r="AF31" s="75">
        <f t="shared" si="7"/>
        <v>15.691061473952121</v>
      </c>
      <c r="AG31" s="75">
        <f t="shared" si="7"/>
        <v>1.6592748667829955</v>
      </c>
      <c r="AH31" s="75">
        <f t="shared" si="7"/>
        <v>2.591609325741829</v>
      </c>
      <c r="AI31" s="75">
        <f t="shared" si="7"/>
        <v>5.471146983732232</v>
      </c>
      <c r="AJ31" s="75">
        <f t="shared" si="7"/>
        <v>2.3863483188671744</v>
      </c>
      <c r="AK31" s="75">
        <f t="shared" si="7"/>
        <v>0.7941336268512755</v>
      </c>
      <c r="AL31" s="75">
        <f t="shared" si="7"/>
        <v>-2.847145963494094</v>
      </c>
      <c r="AM31" s="111">
        <f t="shared" si="7"/>
        <v>-17.959045891459095</v>
      </c>
    </row>
    <row r="32" spans="21:39" ht="12.75">
      <c r="U32" s="3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103"/>
    </row>
    <row r="33" spans="1:39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4"/>
      <c r="U33" s="3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107"/>
    </row>
    <row r="34" spans="1:39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4"/>
      <c r="U34" s="3"/>
      <c r="V34" s="4"/>
      <c r="W34" s="4"/>
      <c r="X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107"/>
    </row>
    <row r="35" spans="1:3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4"/>
      <c r="U35" s="3"/>
      <c r="V35" s="1"/>
      <c r="W35" s="1"/>
      <c r="X35" s="1"/>
      <c r="Y35" s="3"/>
      <c r="Z35" s="3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04"/>
    </row>
    <row r="36" spans="1:3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4"/>
      <c r="U36" s="3"/>
      <c r="V36" s="1"/>
      <c r="W36" s="1"/>
      <c r="X36" s="1"/>
      <c r="Y36" s="3"/>
      <c r="Z36" s="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04"/>
    </row>
    <row r="37" spans="1:39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107"/>
      <c r="V37" s="4"/>
      <c r="W37" s="4"/>
      <c r="X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107"/>
    </row>
    <row r="38" spans="1:39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07"/>
      <c r="V38" s="4"/>
      <c r="W38" s="4"/>
      <c r="X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107"/>
    </row>
    <row r="39" spans="1:39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07"/>
      <c r="V39" s="4"/>
      <c r="W39" s="4"/>
      <c r="X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107"/>
    </row>
    <row r="40" spans="22:39" ht="13.5">
      <c r="V40" s="4"/>
      <c r="W40" s="4"/>
      <c r="X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107"/>
    </row>
    <row r="41" spans="22:39" ht="13.5">
      <c r="V41" s="4"/>
      <c r="W41" s="4"/>
      <c r="X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107"/>
    </row>
    <row r="42" spans="22:39" ht="13.5">
      <c r="V42" s="4"/>
      <c r="W42" s="4"/>
      <c r="X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107"/>
    </row>
  </sheetData>
  <sheetProtection/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ja kuntayhtymien palvelujen ja materiaalin ostot 1997-2015</dc:title>
  <dc:subject/>
  <dc:creator>pukkihe</dc:creator>
  <cp:keywords/>
  <dc:description/>
  <cp:lastModifiedBy>Valkeinen Tuija</cp:lastModifiedBy>
  <cp:lastPrinted>2016-11-10T08:22:15Z</cp:lastPrinted>
  <dcterms:created xsi:type="dcterms:W3CDTF">2002-02-28T08:31:45Z</dcterms:created>
  <dcterms:modified xsi:type="dcterms:W3CDTF">2017-02-23T14:51:19Z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0x010100FB67A0028CB54352919050D117ADD961005359D82A7C3C72448E0185A723128491</vt:lpwstr>
  </property>
  <property fmtid="{D5CDD505-2E9C-101B-9397-08002B2CF9AE}" pid="3" name="_dlc_DocIdItemGuid">
    <vt:lpwstr>f2c9f43e-ab00-4afe-9cc3-1d61a5661846</vt:lpwstr>
  </property>
  <property fmtid="{D5CDD505-2E9C-101B-9397-08002B2CF9AE}" pid="4" name="KN2Keywords">
    <vt:lpwstr/>
  </property>
  <property fmtid="{D5CDD505-2E9C-101B-9397-08002B2CF9AE}" pid="5" name="Theme">
    <vt:lpwstr/>
  </property>
  <property fmtid="{D5CDD505-2E9C-101B-9397-08002B2CF9AE}" pid="6" name="KN2Language">
    <vt:lpwstr/>
  </property>
  <property fmtid="{D5CDD505-2E9C-101B-9397-08002B2CF9AE}" pid="7" name="Municipality">
    <vt:lpwstr/>
  </property>
  <property fmtid="{D5CDD505-2E9C-101B-9397-08002B2CF9AE}" pid="8" name="ExpertService">
    <vt:lpwstr>7;#Kuntatalous|f60f4e25-53fd-466c-b326-d92406949689</vt:lpwstr>
  </property>
  <property fmtid="{D5CDD505-2E9C-101B-9397-08002B2CF9AE}" pid="9" name="MunicipalityTaxHTField0">
    <vt:lpwstr/>
  </property>
  <property fmtid="{D5CDD505-2E9C-101B-9397-08002B2CF9AE}" pid="10" name="ExpertServiceTaxHTField0">
    <vt:lpwstr>Kuntatalous|f60f4e25-53fd-466c-b326-d92406949689</vt:lpwstr>
  </property>
  <property fmtid="{D5CDD505-2E9C-101B-9397-08002B2CF9AE}" pid="11" name="KN2KeywordsTaxHTField0">
    <vt:lpwstr/>
  </property>
  <property fmtid="{D5CDD505-2E9C-101B-9397-08002B2CF9AE}" pid="12" name="KN2LanguageTaxHTField0">
    <vt:lpwstr/>
  </property>
  <property fmtid="{D5CDD505-2E9C-101B-9397-08002B2CF9AE}" pid="13" name="KN2ArticleDateTime">
    <vt:lpwstr>2017-01-18T10:40:00Z</vt:lpwstr>
  </property>
  <property fmtid="{D5CDD505-2E9C-101B-9397-08002B2CF9AE}" pid="14" name="KN2Description">
    <vt:lpwstr/>
  </property>
  <property fmtid="{D5CDD505-2E9C-101B-9397-08002B2CF9AE}" pid="15" name="ThemeTaxHTField0">
    <vt:lpwstr/>
  </property>
  <property fmtid="{D5CDD505-2E9C-101B-9397-08002B2CF9AE}" pid="16" name="TaxCatchAll">
    <vt:lpwstr>7;#</vt:lpwstr>
  </property>
  <property fmtid="{D5CDD505-2E9C-101B-9397-08002B2CF9AE}" pid="17" name="_dlc_DocId">
    <vt:lpwstr>G94TWSLYV3F3-396-18</vt:lpwstr>
  </property>
  <property fmtid="{D5CDD505-2E9C-101B-9397-08002B2CF9AE}" pid="18" name="_dlc_DocIdUrl">
    <vt:lpwstr>http://www.kunnat.net/fi/tietopankit/tilastot/kuntatalous/kuntien-tilinpaatokset/kunnat-kuntayhtymat-ostot/_layouts/DocIdRedir.aspx?ID=G94TWSLYV3F3-396-18, G94TWSLYV3F3-396-18</vt:lpwstr>
  </property>
</Properties>
</file>