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1940" windowHeight="6540" activeTab="0"/>
  </bookViews>
  <sheets>
    <sheet name="kunnat" sheetId="1" r:id="rId1"/>
    <sheet name="kuntayhtymät" sheetId="2" r:id="rId2"/>
    <sheet name="kuntakonsernit" sheetId="3" r:id="rId3"/>
  </sheets>
  <definedNames>
    <definedName name="_xlnm.Print_Area" localSheetId="0">'kunnat'!$A$1:$AL$65</definedName>
    <definedName name="_xlnm.Print_Area" localSheetId="1">'kuntayhtymät'!$A$1:$AL$66</definedName>
    <definedName name="Tulostusalue_MI">'kunnat'!$A$1:$X$61</definedName>
  </definedNames>
  <calcPr fullCalcOnLoad="1"/>
</workbook>
</file>

<file path=xl/sharedStrings.xml><?xml version="1.0" encoding="utf-8"?>
<sst xmlns="http://schemas.openxmlformats.org/spreadsheetml/2006/main" count="368" uniqueCount="121">
  <si>
    <t>VASTAAVAA:</t>
  </si>
  <si>
    <t>VASTATTAVAA:</t>
  </si>
  <si>
    <t>OMA PÄÄOMA</t>
  </si>
  <si>
    <t xml:space="preserve">  Aineettomat hyödykkeet</t>
  </si>
  <si>
    <t xml:space="preserve">  Peruspääoma</t>
  </si>
  <si>
    <t xml:space="preserve">    Aineettomat oikeudet</t>
  </si>
  <si>
    <t xml:space="preserve">    Tietokoneohjelmistot</t>
  </si>
  <si>
    <t xml:space="preserve">  Edell. tilikausien yli-/alijäämä</t>
  </si>
  <si>
    <t xml:space="preserve">    Muut pitkävaikuitteiset menot</t>
  </si>
  <si>
    <t xml:space="preserve">  Tilikauden yli-/alijäämä</t>
  </si>
  <si>
    <t xml:space="preserve">    Ennakkomaksut</t>
  </si>
  <si>
    <t xml:space="preserve">  Aineelliset hyödykkeet</t>
  </si>
  <si>
    <t xml:space="preserve">    Maa- ja vesialueet</t>
  </si>
  <si>
    <t xml:space="preserve">  Vapaaehtoiset varaukset</t>
  </si>
  <si>
    <t xml:space="preserve">    Rakennukset</t>
  </si>
  <si>
    <t xml:space="preserve">    Kiinteät rakenteet ja laitteet</t>
  </si>
  <si>
    <t xml:space="preserve">    Koneet ja kalusto</t>
  </si>
  <si>
    <t xml:space="preserve">    Muut aineelliset hyödykkeet</t>
  </si>
  <si>
    <t>TOIMEKSIANTOJEN PÄÄOMAT</t>
  </si>
  <si>
    <t xml:space="preserve">  Valtion toimeksiannot</t>
  </si>
  <si>
    <t xml:space="preserve">  Muut toimeksiantojen pääomat</t>
  </si>
  <si>
    <t xml:space="preserve">    Osakkeet ja osuudet</t>
  </si>
  <si>
    <t>VIERAS PÄÄOMA</t>
  </si>
  <si>
    <t xml:space="preserve">    Joukkovelkakirjalainasaamiset</t>
  </si>
  <si>
    <t xml:space="preserve">  Pitkäaikainen</t>
  </si>
  <si>
    <t xml:space="preserve">    Joukkovelkakirjalainat</t>
  </si>
  <si>
    <t xml:space="preserve">    Lainat rah.- ja vak.laitoksilta</t>
  </si>
  <si>
    <t xml:space="preserve">    Lainat julkisyhteisöiltä</t>
  </si>
  <si>
    <t xml:space="preserve">    Lainat muilta luotonantajilta</t>
  </si>
  <si>
    <t xml:space="preserve">    Saadut ennakot</t>
  </si>
  <si>
    <t>TOIMEKSIANTOJEN VARAT</t>
  </si>
  <si>
    <t xml:space="preserve">    Ostovelat</t>
  </si>
  <si>
    <t xml:space="preserve">  Muut toimeksiantojen varat</t>
  </si>
  <si>
    <t xml:space="preserve">  Lyhytaikainen</t>
  </si>
  <si>
    <t xml:space="preserve">  Vaihto-omaisuus</t>
  </si>
  <si>
    <t xml:space="preserve">    Aineet ja tarvikkeet</t>
  </si>
  <si>
    <t xml:space="preserve">    Keskeneräiset tuotteet</t>
  </si>
  <si>
    <t xml:space="preserve">    Muu vaihto-omaisuus</t>
  </si>
  <si>
    <t xml:space="preserve">    Siirtovelat</t>
  </si>
  <si>
    <t xml:space="preserve">  Saamiset</t>
  </si>
  <si>
    <t>VASTATTAVAA YHTEENSÄ</t>
  </si>
  <si>
    <t>Omavaraisuus-%</t>
  </si>
  <si>
    <t xml:space="preserve">    Muut saamiset</t>
  </si>
  <si>
    <t xml:space="preserve">  Rahat ja pankkisaamiset</t>
  </si>
  <si>
    <t xml:space="preserve">Lainakanta: </t>
  </si>
  <si>
    <t>VASTAAVAA YHTEENSÄ</t>
  </si>
  <si>
    <t>PYSYVÄT VASTAAVAT</t>
  </si>
  <si>
    <t xml:space="preserve"> Sijoitukset</t>
  </si>
  <si>
    <t xml:space="preserve">    Muut lainasaamiset</t>
  </si>
  <si>
    <t>VAIHTUVAT VASTAAVAT</t>
  </si>
  <si>
    <t xml:space="preserve">    Valmiit tuotteet/tavarat</t>
  </si>
  <si>
    <t xml:space="preserve">  Liittymismaksurahasto</t>
  </si>
  <si>
    <t xml:space="preserve">  Arvonkorotusrahasto</t>
  </si>
  <si>
    <t xml:space="preserve">  Muut omat rahastot</t>
  </si>
  <si>
    <t>POISTOERO JA VAP.EHT.VAR.</t>
  </si>
  <si>
    <t>PAKOLLISET VARAUKSET</t>
  </si>
  <si>
    <t xml:space="preserve">  Poistoero</t>
  </si>
  <si>
    <t xml:space="preserve">  Eläkevaraukset</t>
  </si>
  <si>
    <t xml:space="preserve">  Muut pakolliset varaukset</t>
  </si>
  <si>
    <t xml:space="preserve">    Muut arvopaperit</t>
  </si>
  <si>
    <t xml:space="preserve">  Lahjoitusrahastojen erityiskatteet</t>
  </si>
  <si>
    <t xml:space="preserve">  Lahjoitusrahastojen pääomat</t>
  </si>
  <si>
    <t xml:space="preserve">    Pitkäaikaiset saamiset</t>
  </si>
  <si>
    <t xml:space="preserve">      Myyntisaamiset</t>
  </si>
  <si>
    <t xml:space="preserve">      Lainasaamiset</t>
  </si>
  <si>
    <t xml:space="preserve">      Muut saamiset</t>
  </si>
  <si>
    <t xml:space="preserve">      Siirtosaamiset</t>
  </si>
  <si>
    <t xml:space="preserve">    Lyhytaikaiset saamiset</t>
  </si>
  <si>
    <t>2001</t>
  </si>
  <si>
    <t>Lähde: Tilastokeskus.</t>
  </si>
  <si>
    <t xml:space="preserve">    Konserniliikearvo</t>
  </si>
  <si>
    <t xml:space="preserve">    Osakkuusyhteisöosuudet</t>
  </si>
  <si>
    <t xml:space="preserve">    Muut osakkeet ja osuudet</t>
  </si>
  <si>
    <t>VÄHEMMISTÖOSUUDET</t>
  </si>
  <si>
    <t>KONSERNIRESERVI</t>
  </si>
  <si>
    <t>1999</t>
  </si>
  <si>
    <t>2002</t>
  </si>
  <si>
    <t xml:space="preserve">    Ennakkomaksut ja keskener. hank.</t>
  </si>
  <si>
    <t xml:space="preserve">    Sijoitukset rahamarkkinainstrum.</t>
  </si>
  <si>
    <t>2003</t>
  </si>
  <si>
    <t>Muut vastuusitoumukset</t>
  </si>
  <si>
    <t>Vakuudet ja vastuusitoum.</t>
  </si>
  <si>
    <t xml:space="preserve">Vastuusit. saman kons. yht. puol. </t>
  </si>
  <si>
    <t>Lähde: Tilastokeskus</t>
  </si>
  <si>
    <t>2004</t>
  </si>
  <si>
    <t xml:space="preserve">Lähde: Tilastokeskus. </t>
  </si>
  <si>
    <t>2005</t>
  </si>
  <si>
    <t>2006</t>
  </si>
  <si>
    <t xml:space="preserve">Rahavarat: </t>
  </si>
  <si>
    <t xml:space="preserve">    Liittymismaksut ja muut velat</t>
  </si>
  <si>
    <t>2007</t>
  </si>
  <si>
    <t xml:space="preserve">Takaukset saman kons. yht. puol. </t>
  </si>
  <si>
    <t>Takaukset muiden puolesta</t>
  </si>
  <si>
    <t>Takaukset yhteensä</t>
  </si>
  <si>
    <t>2008</t>
  </si>
  <si>
    <t xml:space="preserve">  Jäljellä oleva pääoma</t>
  </si>
  <si>
    <t>2009</t>
  </si>
  <si>
    <t>(arvostuserät)</t>
  </si>
  <si>
    <t>2010</t>
  </si>
  <si>
    <t>2011</t>
  </si>
  <si>
    <t xml:space="preserve">  Rahoitusarvopaperit</t>
  </si>
  <si>
    <t>2012</t>
  </si>
  <si>
    <t>2013</t>
  </si>
  <si>
    <t xml:space="preserve">                    euroa/asukas</t>
  </si>
  <si>
    <r>
      <t xml:space="preserve">Rahavarat: </t>
    </r>
    <r>
      <rPr>
        <sz val="10"/>
        <rFont val="Arial Narrow"/>
        <family val="2"/>
      </rPr>
      <t>Milj. euroa</t>
    </r>
  </si>
  <si>
    <t xml:space="preserve">                      euroa/asukas</t>
  </si>
  <si>
    <r>
      <t xml:space="preserve">Lainakanta: </t>
    </r>
    <r>
      <rPr>
        <sz val="10"/>
        <rFont val="Arial Narrow"/>
        <family val="2"/>
      </rPr>
      <t>Milj. euroa</t>
    </r>
  </si>
  <si>
    <t xml:space="preserve">                  Milj.  euroa</t>
  </si>
  <si>
    <t xml:space="preserve">                  euroa/asukas</t>
  </si>
  <si>
    <t xml:space="preserve">                   milj. euroa</t>
  </si>
  <si>
    <t xml:space="preserve">                    euroa/as.</t>
  </si>
  <si>
    <t>2014</t>
  </si>
  <si>
    <t>2015*</t>
  </si>
  <si>
    <t>Kuntien taseet 31.12.2008-2015, milj. €</t>
  </si>
  <si>
    <t>.</t>
  </si>
  <si>
    <t>Kuntayhtymien taseet 31.12.2008-2015, milj. €</t>
  </si>
  <si>
    <t xml:space="preserve">    Koroton</t>
  </si>
  <si>
    <t xml:space="preserve">    Korollinen</t>
  </si>
  <si>
    <t>Kuntien konsernitaseet 31.12.2008-2015, milj. €</t>
  </si>
  <si>
    <t xml:space="preserve">  Säätiöiden ja yhdistysten perupääomat</t>
  </si>
  <si>
    <t xml:space="preserve">  Osuus ky:n oman pääoman lisäyks.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</si>
</sst>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8"/>
      <name val="Helv"/>
      <family val="0"/>
    </font>
    <font>
      <sz val="12"/>
      <name val="Arial Narrow"/>
      <family val="2"/>
    </font>
    <font>
      <sz val="9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3" fontId="4" fillId="0" borderId="11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left"/>
      <protection/>
    </xf>
    <xf numFmtId="3" fontId="4" fillId="0" borderId="15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3" fontId="2" fillId="0" borderId="15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5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0" fontId="5" fillId="2" borderId="19" xfId="0" applyFont="1" applyFill="1" applyBorder="1" applyAlignment="1" applyProtection="1">
      <alignment horizontal="left"/>
      <protection/>
    </xf>
    <xf numFmtId="49" fontId="4" fillId="2" borderId="19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164" fontId="4" fillId="0" borderId="14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0" fontId="2" fillId="0" borderId="20" xfId="0" applyFont="1" applyBorder="1" applyAlignment="1">
      <alignment/>
    </xf>
    <xf numFmtId="3" fontId="4" fillId="0" borderId="21" xfId="0" applyNumberFormat="1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6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 applyProtection="1">
      <alignment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left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4" fillId="2" borderId="27" xfId="0" applyNumberFormat="1" applyFont="1" applyFill="1" applyBorder="1" applyAlignment="1" applyProtection="1">
      <alignment horizontal="center"/>
      <protection/>
    </xf>
    <xf numFmtId="164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>
      <alignment/>
    </xf>
    <xf numFmtId="3" fontId="6" fillId="0" borderId="21" xfId="0" applyNumberFormat="1" applyFont="1" applyBorder="1" applyAlignment="1" applyProtection="1">
      <alignment/>
      <protection/>
    </xf>
    <xf numFmtId="165" fontId="2" fillId="0" borderId="21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24" xfId="0" applyFont="1" applyBorder="1" applyAlignment="1" applyProtection="1">
      <alignment horizontal="left"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32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4" fillId="2" borderId="33" xfId="0" applyNumberFormat="1" applyFont="1" applyFill="1" applyBorder="1" applyAlignment="1" applyProtection="1">
      <alignment horizontal="center"/>
      <protection/>
    </xf>
    <xf numFmtId="0" fontId="2" fillId="0" borderId="32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5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35" xfId="0" applyFont="1" applyBorder="1" applyAlignment="1" applyProtection="1">
      <alignment horizontal="left"/>
      <protection/>
    </xf>
    <xf numFmtId="164" fontId="4" fillId="0" borderId="35" xfId="0" applyNumberFormat="1" applyFont="1" applyBorder="1" applyAlignment="1" applyProtection="1">
      <alignment horizontal="left"/>
      <protection/>
    </xf>
    <xf numFmtId="0" fontId="2" fillId="0" borderId="36" xfId="0" applyFont="1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9" fillId="0" borderId="15" xfId="0" applyNumberFormat="1" applyFont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4"/>
    <pageSetUpPr fitToPage="1"/>
  </sheetPr>
  <dimension ref="A1:AP66"/>
  <sheetViews>
    <sheetView tabSelected="1" zoomScale="105" zoomScaleNormal="105" zoomScalePageLayoutView="0" workbookViewId="0" topLeftCell="A1">
      <pane ySplit="5" topLeftCell="A6" activePane="bottomLeft" state="frozen"/>
      <selection pane="topLeft" activeCell="A1" sqref="A1"/>
      <selection pane="bottomLeft" activeCell="T55" sqref="T55"/>
    </sheetView>
  </sheetViews>
  <sheetFormatPr defaultColWidth="9.7109375" defaultRowHeight="12.75"/>
  <cols>
    <col min="1" max="1" width="24.140625" style="1" customWidth="1"/>
    <col min="2" max="6" width="6.00390625" style="1" hidden="1" customWidth="1"/>
    <col min="7" max="9" width="5.421875" style="1" hidden="1" customWidth="1"/>
    <col min="10" max="10" width="6.00390625" style="1" hidden="1" customWidth="1"/>
    <col min="11" max="18" width="5.7109375" style="1" customWidth="1"/>
    <col min="19" max="19" width="1.57421875" style="1" customWidth="1"/>
    <col min="20" max="20" width="24.28125" style="1" customWidth="1"/>
    <col min="21" max="21" width="13.57421875" style="1" hidden="1" customWidth="1"/>
    <col min="22" max="30" width="9.00390625" style="1" hidden="1" customWidth="1"/>
    <col min="31" max="31" width="9.00390625" style="1" customWidth="1"/>
    <col min="32" max="38" width="5.7109375" style="1" customWidth="1"/>
    <col min="39" max="16384" width="9.7109375" style="1" customWidth="1"/>
  </cols>
  <sheetData>
    <row r="1" ht="13.5">
      <c r="A1" s="7">
        <v>42535</v>
      </c>
    </row>
    <row r="2" ht="18" customHeight="1">
      <c r="A2" s="8" t="s">
        <v>113</v>
      </c>
    </row>
    <row r="3" ht="12.75" customHeight="1">
      <c r="A3" s="3" t="s">
        <v>83</v>
      </c>
    </row>
    <row r="4" ht="7.5" customHeight="1"/>
    <row r="5" spans="1:38" ht="15.75">
      <c r="A5" s="58" t="s">
        <v>0</v>
      </c>
      <c r="B5" s="57" t="s">
        <v>75</v>
      </c>
      <c r="C5" s="57">
        <v>2000</v>
      </c>
      <c r="D5" s="57" t="s">
        <v>68</v>
      </c>
      <c r="E5" s="57" t="s">
        <v>76</v>
      </c>
      <c r="F5" s="57" t="s">
        <v>79</v>
      </c>
      <c r="G5" s="57" t="s">
        <v>84</v>
      </c>
      <c r="H5" s="57" t="s">
        <v>86</v>
      </c>
      <c r="I5" s="57" t="s">
        <v>87</v>
      </c>
      <c r="J5" s="57" t="s">
        <v>90</v>
      </c>
      <c r="K5" s="57" t="s">
        <v>94</v>
      </c>
      <c r="L5" s="57" t="s">
        <v>96</v>
      </c>
      <c r="M5" s="57" t="s">
        <v>98</v>
      </c>
      <c r="N5" s="57" t="s">
        <v>99</v>
      </c>
      <c r="O5" s="57" t="s">
        <v>101</v>
      </c>
      <c r="P5" s="57" t="s">
        <v>102</v>
      </c>
      <c r="Q5" s="81" t="s">
        <v>111</v>
      </c>
      <c r="R5" s="57" t="s">
        <v>112</v>
      </c>
      <c r="T5" s="35" t="s">
        <v>1</v>
      </c>
      <c r="U5" s="35"/>
      <c r="V5" s="36" t="s">
        <v>75</v>
      </c>
      <c r="W5" s="36">
        <v>2000</v>
      </c>
      <c r="X5" s="36" t="s">
        <v>68</v>
      </c>
      <c r="Y5" s="36" t="s">
        <v>76</v>
      </c>
      <c r="Z5" s="36" t="s">
        <v>79</v>
      </c>
      <c r="AA5" s="36" t="s">
        <v>84</v>
      </c>
      <c r="AB5" s="36" t="s">
        <v>86</v>
      </c>
      <c r="AC5" s="36" t="s">
        <v>87</v>
      </c>
      <c r="AD5" s="36" t="s">
        <v>90</v>
      </c>
      <c r="AE5" s="36" t="s">
        <v>94</v>
      </c>
      <c r="AF5" s="36" t="s">
        <v>96</v>
      </c>
      <c r="AG5" s="36" t="s">
        <v>98</v>
      </c>
      <c r="AH5" s="36" t="s">
        <v>99</v>
      </c>
      <c r="AI5" s="36" t="s">
        <v>101</v>
      </c>
      <c r="AJ5" s="62" t="s">
        <v>102</v>
      </c>
      <c r="AK5" s="62" t="s">
        <v>111</v>
      </c>
      <c r="AL5" s="36" t="s">
        <v>112</v>
      </c>
    </row>
    <row r="6" spans="1:38" ht="9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82"/>
      <c r="R6" s="61"/>
      <c r="T6" s="17"/>
      <c r="U6" s="86"/>
      <c r="V6" s="9"/>
      <c r="W6" s="9"/>
      <c r="X6" s="9"/>
      <c r="Y6" s="9"/>
      <c r="Z6" s="9"/>
      <c r="AA6" s="46"/>
      <c r="AB6" s="46"/>
      <c r="AC6" s="46"/>
      <c r="AD6" s="46"/>
      <c r="AE6" s="46"/>
      <c r="AF6" s="46"/>
      <c r="AG6" s="46"/>
      <c r="AH6" s="46"/>
      <c r="AI6" s="46"/>
      <c r="AJ6" s="63"/>
      <c r="AK6" s="63"/>
      <c r="AL6" s="48"/>
    </row>
    <row r="7" spans="1:38" ht="14.25" customHeight="1">
      <c r="A7" s="19" t="s">
        <v>46</v>
      </c>
      <c r="B7" s="10">
        <f aca="true" t="shared" si="0" ref="B7:G7">B8+B14+B22</f>
        <v>26921.933555677777</v>
      </c>
      <c r="C7" s="10">
        <f t="shared" si="0"/>
        <v>27652.49952486911</v>
      </c>
      <c r="D7" s="10">
        <f t="shared" si="0"/>
        <v>28815.897</v>
      </c>
      <c r="E7" s="10">
        <f t="shared" si="0"/>
        <v>30035.901</v>
      </c>
      <c r="F7" s="10">
        <f t="shared" si="0"/>
        <v>31078.655</v>
      </c>
      <c r="G7" s="10">
        <f t="shared" si="0"/>
        <v>32053.395000000004</v>
      </c>
      <c r="H7" s="10">
        <f aca="true" t="shared" si="1" ref="H7:M7">H8+H14+H22</f>
        <v>33054.214</v>
      </c>
      <c r="I7" s="10">
        <f t="shared" si="1"/>
        <v>33816.469</v>
      </c>
      <c r="J7" s="10">
        <f t="shared" si="1"/>
        <v>34992.899</v>
      </c>
      <c r="K7" s="10">
        <f t="shared" si="1"/>
        <v>36622.818999999996</v>
      </c>
      <c r="L7" s="10">
        <f t="shared" si="1"/>
        <v>37939.854</v>
      </c>
      <c r="M7" s="10">
        <f t="shared" si="1"/>
        <v>39813.722</v>
      </c>
      <c r="N7" s="10">
        <f>N8+N14+N22</f>
        <v>41286.461</v>
      </c>
      <c r="O7" s="10">
        <f>O8+O14+O22</f>
        <v>42778.049</v>
      </c>
      <c r="P7" s="10">
        <f>P8+P14+P22</f>
        <v>43737.604</v>
      </c>
      <c r="Q7" s="51">
        <f>Q8+Q14+Q22</f>
        <v>46662.667</v>
      </c>
      <c r="R7" s="20">
        <f>R8+R14+R22</f>
        <v>47864.394</v>
      </c>
      <c r="S7" s="2"/>
      <c r="T7" s="19" t="s">
        <v>2</v>
      </c>
      <c r="U7" s="87"/>
      <c r="V7" s="10">
        <f aca="true" t="shared" si="2" ref="V7:AA7">SUM(V8:V13)</f>
        <v>22968.47821882258</v>
      </c>
      <c r="W7" s="10">
        <f t="shared" si="2"/>
        <v>23803.481994641534</v>
      </c>
      <c r="X7" s="10">
        <f t="shared" si="2"/>
        <v>24494.945</v>
      </c>
      <c r="Y7" s="10">
        <f t="shared" si="2"/>
        <v>25430.865999999998</v>
      </c>
      <c r="Z7" s="10">
        <f t="shared" si="2"/>
        <v>25561.937</v>
      </c>
      <c r="AA7" s="10">
        <f t="shared" si="2"/>
        <v>25339.778000000002</v>
      </c>
      <c r="AB7" s="10">
        <f aca="true" t="shared" si="3" ref="AB7:AG7">SUM(AB8:AB13)</f>
        <v>25251.314</v>
      </c>
      <c r="AC7" s="10">
        <f t="shared" si="3"/>
        <v>26052.284</v>
      </c>
      <c r="AD7" s="10">
        <f t="shared" si="3"/>
        <v>26758.637</v>
      </c>
      <c r="AE7" s="10">
        <f t="shared" si="3"/>
        <v>27318.649999999998</v>
      </c>
      <c r="AF7" s="10">
        <f t="shared" si="3"/>
        <v>27558.977</v>
      </c>
      <c r="AG7" s="10">
        <f t="shared" si="3"/>
        <v>29361.47</v>
      </c>
      <c r="AH7" s="10">
        <f>SUM(AH8:AH13)</f>
        <v>29858.808</v>
      </c>
      <c r="AI7" s="10">
        <f>SUM(AI8:AI13)</f>
        <v>29592.135</v>
      </c>
      <c r="AJ7" s="51">
        <f>SUM(AJ8:AJ13)</f>
        <v>29820.495</v>
      </c>
      <c r="AK7" s="51">
        <f>SUM(AK8:AK13)</f>
        <v>32063.29</v>
      </c>
      <c r="AL7" s="20">
        <f>SUM(AL8:AL13)</f>
        <v>32135.320000000003</v>
      </c>
    </row>
    <row r="8" spans="1:38" ht="14.25" customHeight="1">
      <c r="A8" s="21" t="s">
        <v>3</v>
      </c>
      <c r="B8" s="11">
        <f aca="true" t="shared" si="4" ref="B8:G8">SUM(B9:B12)</f>
        <v>246.48091992068257</v>
      </c>
      <c r="C8" s="11">
        <f t="shared" si="4"/>
        <v>276.3603459962023</v>
      </c>
      <c r="D8" s="11">
        <f t="shared" si="4"/>
        <v>292.203</v>
      </c>
      <c r="E8" s="11">
        <f t="shared" si="4"/>
        <v>325.033</v>
      </c>
      <c r="F8" s="11">
        <f t="shared" si="4"/>
        <v>355.187</v>
      </c>
      <c r="G8" s="11">
        <f t="shared" si="4"/>
        <v>367.843</v>
      </c>
      <c r="H8" s="11">
        <f aca="true" t="shared" si="5" ref="H8:M8">SUM(H9:H12)</f>
        <v>353.942</v>
      </c>
      <c r="I8" s="11">
        <f t="shared" si="5"/>
        <v>371.703</v>
      </c>
      <c r="J8" s="11">
        <f t="shared" si="5"/>
        <v>366.68600000000004</v>
      </c>
      <c r="K8" s="11">
        <f t="shared" si="5"/>
        <v>537.852</v>
      </c>
      <c r="L8" s="11">
        <f t="shared" si="5"/>
        <v>621.895</v>
      </c>
      <c r="M8" s="11">
        <f t="shared" si="5"/>
        <v>612.477</v>
      </c>
      <c r="N8" s="11">
        <f>SUM(N9:N12)</f>
        <v>626.662</v>
      </c>
      <c r="O8" s="11">
        <f>SUM(O9:O12)</f>
        <v>615.544</v>
      </c>
      <c r="P8" s="11">
        <f>SUM(P9:P12)</f>
        <v>621.6899999999999</v>
      </c>
      <c r="Q8" s="52">
        <f>SUM(Q9:Q12)</f>
        <v>498.26099999999997</v>
      </c>
      <c r="R8" s="22">
        <f>SUM(R9:R12)</f>
        <v>601.73</v>
      </c>
      <c r="S8" s="2"/>
      <c r="T8" s="21" t="s">
        <v>4</v>
      </c>
      <c r="U8" s="88"/>
      <c r="V8" s="11">
        <v>17309.110067224712</v>
      </c>
      <c r="W8" s="11">
        <v>17387.26918309442</v>
      </c>
      <c r="X8" s="14">
        <v>17352.726</v>
      </c>
      <c r="Y8" s="14">
        <v>17398.698</v>
      </c>
      <c r="Z8" s="14">
        <v>17393.467</v>
      </c>
      <c r="AA8" s="14">
        <f>91.719+17282.453</f>
        <v>17374.172000000002</v>
      </c>
      <c r="AB8" s="14">
        <v>17382.868</v>
      </c>
      <c r="AC8" s="14">
        <v>17361.521</v>
      </c>
      <c r="AD8" s="14">
        <v>17430.845</v>
      </c>
      <c r="AE8" s="14">
        <v>17428.736</v>
      </c>
      <c r="AF8" s="14">
        <v>17427.905</v>
      </c>
      <c r="AG8" s="14">
        <v>17435.305</v>
      </c>
      <c r="AH8" s="14">
        <v>17443.219</v>
      </c>
      <c r="AI8" s="14">
        <v>18045.099</v>
      </c>
      <c r="AJ8" s="54">
        <v>18043</v>
      </c>
      <c r="AK8" s="54">
        <v>18057.451</v>
      </c>
      <c r="AL8" s="26">
        <v>18059.713</v>
      </c>
    </row>
    <row r="9" spans="1:38" ht="14.25" customHeight="1">
      <c r="A9" s="23" t="s">
        <v>5</v>
      </c>
      <c r="B9" s="12">
        <v>35.07407837220997</v>
      </c>
      <c r="C9" s="12">
        <v>52.457814263345284</v>
      </c>
      <c r="D9" s="13">
        <v>50.223</v>
      </c>
      <c r="E9" s="13">
        <v>51.173</v>
      </c>
      <c r="F9" s="13">
        <v>70.6</v>
      </c>
      <c r="G9" s="13">
        <v>69.779</v>
      </c>
      <c r="H9" s="13">
        <v>73.728</v>
      </c>
      <c r="I9" s="13">
        <v>68.324</v>
      </c>
      <c r="J9" s="13">
        <v>83.317</v>
      </c>
      <c r="K9" s="13">
        <v>101.899</v>
      </c>
      <c r="L9" s="13">
        <v>119.87</v>
      </c>
      <c r="M9" s="13">
        <v>143.595</v>
      </c>
      <c r="N9" s="13">
        <v>113.347</v>
      </c>
      <c r="O9" s="13">
        <v>31.84</v>
      </c>
      <c r="P9" s="13">
        <v>35.293</v>
      </c>
      <c r="Q9" s="53">
        <v>19.237</v>
      </c>
      <c r="R9" s="24">
        <v>81.578</v>
      </c>
      <c r="S9" s="2"/>
      <c r="T9" s="21"/>
      <c r="U9" s="21" t="s">
        <v>51</v>
      </c>
      <c r="V9" s="11"/>
      <c r="W9" s="11">
        <v>333.86817093948093</v>
      </c>
      <c r="X9" s="14">
        <v>375.035</v>
      </c>
      <c r="Y9" s="14">
        <v>402.131</v>
      </c>
      <c r="Z9" s="14">
        <v>407.822</v>
      </c>
      <c r="AA9" s="14">
        <v>52.272</v>
      </c>
      <c r="AB9" s="14"/>
      <c r="AC9" s="14"/>
      <c r="AD9" s="14"/>
      <c r="AE9" s="14"/>
      <c r="AF9" s="14"/>
      <c r="AG9" s="14"/>
      <c r="AH9" s="14"/>
      <c r="AI9" s="14"/>
      <c r="AJ9" s="54"/>
      <c r="AK9" s="54"/>
      <c r="AL9" s="26"/>
    </row>
    <row r="10" spans="1:38" ht="14.25" customHeight="1">
      <c r="A10" s="23" t="s">
        <v>6</v>
      </c>
      <c r="B10" s="12">
        <v>30.246412131058758</v>
      </c>
      <c r="C10" s="12">
        <v>29.086251814327255</v>
      </c>
      <c r="D10" s="13">
        <v>42.373</v>
      </c>
      <c r="E10" s="13">
        <v>57.15</v>
      </c>
      <c r="F10" s="13">
        <v>55.048</v>
      </c>
      <c r="G10" s="13">
        <v>51.955</v>
      </c>
      <c r="H10" s="13">
        <v>53.957</v>
      </c>
      <c r="I10" s="13">
        <v>61.736</v>
      </c>
      <c r="J10" s="13">
        <v>61.797</v>
      </c>
      <c r="K10" s="13">
        <v>50.854</v>
      </c>
      <c r="L10" s="13">
        <v>56.496</v>
      </c>
      <c r="M10" s="13">
        <v>59.564</v>
      </c>
      <c r="N10" s="13">
        <v>61.511</v>
      </c>
      <c r="O10" s="13">
        <v>63.758</v>
      </c>
      <c r="P10" s="13">
        <v>65.757</v>
      </c>
      <c r="Q10" s="53">
        <v>64.537</v>
      </c>
      <c r="R10" s="84" t="s">
        <v>114</v>
      </c>
      <c r="S10" s="2"/>
      <c r="T10" s="25" t="s">
        <v>52</v>
      </c>
      <c r="U10" s="89"/>
      <c r="V10" s="11">
        <v>2576.6620751362743</v>
      </c>
      <c r="W10" s="11">
        <v>2539.2331976056767</v>
      </c>
      <c r="X10" s="14">
        <v>2547.504</v>
      </c>
      <c r="Y10" s="14">
        <v>2545.728</v>
      </c>
      <c r="Z10" s="14">
        <v>2559.311</v>
      </c>
      <c r="AA10" s="14">
        <v>2533.713</v>
      </c>
      <c r="AB10" s="14">
        <v>2528.281</v>
      </c>
      <c r="AC10" s="14">
        <v>2397.124</v>
      </c>
      <c r="AD10" s="14">
        <v>2394.545</v>
      </c>
      <c r="AE10" s="14">
        <v>2373.068</v>
      </c>
      <c r="AF10" s="14">
        <v>2351.564</v>
      </c>
      <c r="AG10" s="14">
        <v>2345.183</v>
      </c>
      <c r="AH10" s="14">
        <v>2345.983</v>
      </c>
      <c r="AI10" s="14">
        <v>2361.213</v>
      </c>
      <c r="AJ10" s="54">
        <v>2233.417</v>
      </c>
      <c r="AK10" s="54">
        <v>2131.757</v>
      </c>
      <c r="AL10" s="26">
        <v>2126.233</v>
      </c>
    </row>
    <row r="11" spans="1:38" ht="14.25" customHeight="1">
      <c r="A11" s="23" t="s">
        <v>8</v>
      </c>
      <c r="B11" s="12">
        <v>180.53191113622717</v>
      </c>
      <c r="C11" s="12">
        <v>192.69744842096767</v>
      </c>
      <c r="D11" s="13">
        <v>197.17</v>
      </c>
      <c r="E11" s="13">
        <v>214.799</v>
      </c>
      <c r="F11" s="13">
        <v>225.803</v>
      </c>
      <c r="G11" s="13">
        <v>245.167</v>
      </c>
      <c r="H11" s="13">
        <v>225.537</v>
      </c>
      <c r="I11" s="13">
        <v>229.706</v>
      </c>
      <c r="J11" s="13">
        <v>220.491</v>
      </c>
      <c r="K11" s="13">
        <v>383.223</v>
      </c>
      <c r="L11" s="13">
        <v>444.734</v>
      </c>
      <c r="M11" s="13">
        <v>408.182</v>
      </c>
      <c r="N11" s="13">
        <v>449.283</v>
      </c>
      <c r="O11" s="13">
        <v>515.654</v>
      </c>
      <c r="P11" s="13">
        <v>517.617</v>
      </c>
      <c r="Q11" s="53">
        <v>409.609</v>
      </c>
      <c r="R11" s="24">
        <v>510.736</v>
      </c>
      <c r="S11" s="2"/>
      <c r="T11" s="25" t="s">
        <v>53</v>
      </c>
      <c r="U11" s="89"/>
      <c r="V11" s="11">
        <v>2473.950717573788</v>
      </c>
      <c r="W11" s="11">
        <v>2405.017550410126</v>
      </c>
      <c r="X11" s="14">
        <v>2491.21</v>
      </c>
      <c r="Y11" s="14">
        <v>2535.228</v>
      </c>
      <c r="Z11" s="14">
        <v>2472.761</v>
      </c>
      <c r="AA11" s="14">
        <v>2396.82</v>
      </c>
      <c r="AB11" s="14">
        <v>2355.419</v>
      </c>
      <c r="AC11" s="14">
        <v>2718.766</v>
      </c>
      <c r="AD11" s="14">
        <v>2875.731</v>
      </c>
      <c r="AE11" s="14">
        <v>2528.159</v>
      </c>
      <c r="AF11" s="14">
        <v>2501.794</v>
      </c>
      <c r="AG11" s="14">
        <v>2516.7</v>
      </c>
      <c r="AH11" s="14">
        <v>2519.91</v>
      </c>
      <c r="AI11" s="14">
        <v>2545.68</v>
      </c>
      <c r="AJ11" s="54">
        <v>2511.968</v>
      </c>
      <c r="AK11" s="54">
        <v>2411.68</v>
      </c>
      <c r="AL11" s="26">
        <v>2426.239</v>
      </c>
    </row>
    <row r="12" spans="1:38" ht="14.25" customHeight="1">
      <c r="A12" s="23" t="s">
        <v>10</v>
      </c>
      <c r="B12" s="12">
        <v>0.6285182811866667</v>
      </c>
      <c r="C12" s="12">
        <v>2.118831497562116</v>
      </c>
      <c r="D12" s="13">
        <v>2.437</v>
      </c>
      <c r="E12" s="13">
        <v>1.911</v>
      </c>
      <c r="F12" s="13">
        <v>3.736</v>
      </c>
      <c r="G12" s="13">
        <v>0.942</v>
      </c>
      <c r="H12" s="13">
        <v>0.72</v>
      </c>
      <c r="I12" s="13">
        <v>11.937</v>
      </c>
      <c r="J12" s="13">
        <v>1.081</v>
      </c>
      <c r="K12" s="13">
        <v>1.876</v>
      </c>
      <c r="L12" s="13">
        <v>0.795</v>
      </c>
      <c r="M12" s="13">
        <v>1.136</v>
      </c>
      <c r="N12" s="13">
        <v>2.521</v>
      </c>
      <c r="O12" s="13">
        <v>4.292</v>
      </c>
      <c r="P12" s="13">
        <v>3.023</v>
      </c>
      <c r="Q12" s="53">
        <v>4.878</v>
      </c>
      <c r="R12" s="24">
        <v>9.416</v>
      </c>
      <c r="S12" s="2"/>
      <c r="T12" s="21" t="s">
        <v>7</v>
      </c>
      <c r="U12" s="88"/>
      <c r="V12" s="11">
        <v>324.2737224865576</v>
      </c>
      <c r="W12" s="11">
        <v>731.2054196877423</v>
      </c>
      <c r="X12" s="14">
        <v>1216.377</v>
      </c>
      <c r="Y12" s="14">
        <v>1737.017</v>
      </c>
      <c r="Z12" s="14">
        <v>2652.001</v>
      </c>
      <c r="AA12" s="14">
        <v>3084.952</v>
      </c>
      <c r="AB12" s="14">
        <v>3004.017</v>
      </c>
      <c r="AC12" s="14">
        <v>3048.717</v>
      </c>
      <c r="AD12" s="14">
        <v>3499.91</v>
      </c>
      <c r="AE12" s="14">
        <v>4246.193</v>
      </c>
      <c r="AF12" s="14">
        <v>4977.513</v>
      </c>
      <c r="AG12" s="14">
        <v>5221.032</v>
      </c>
      <c r="AH12" s="14">
        <v>7076.627</v>
      </c>
      <c r="AI12" s="14">
        <v>6922.96</v>
      </c>
      <c r="AJ12" s="54">
        <v>6635.526</v>
      </c>
      <c r="AK12" s="54">
        <v>6991.55</v>
      </c>
      <c r="AL12" s="26">
        <v>9352.617</v>
      </c>
    </row>
    <row r="13" spans="1:38" ht="14.25" customHeight="1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54"/>
      <c r="R13" s="26"/>
      <c r="T13" s="21" t="s">
        <v>9</v>
      </c>
      <c r="U13" s="88"/>
      <c r="V13" s="11">
        <v>284.4816364012493</v>
      </c>
      <c r="W13" s="11">
        <v>406.88847290408404</v>
      </c>
      <c r="X13" s="14">
        <v>512.093</v>
      </c>
      <c r="Y13" s="14">
        <v>812.064</v>
      </c>
      <c r="Z13" s="14">
        <v>76.575</v>
      </c>
      <c r="AA13" s="14">
        <v>-102.151</v>
      </c>
      <c r="AB13" s="14">
        <v>-19.271</v>
      </c>
      <c r="AC13" s="14">
        <v>526.156</v>
      </c>
      <c r="AD13" s="14">
        <v>557.606</v>
      </c>
      <c r="AE13" s="14">
        <v>742.494</v>
      </c>
      <c r="AF13" s="14">
        <v>300.201</v>
      </c>
      <c r="AG13" s="14">
        <v>1843.25</v>
      </c>
      <c r="AH13" s="14">
        <v>473.069</v>
      </c>
      <c r="AI13" s="14">
        <v>-282.817</v>
      </c>
      <c r="AJ13" s="54">
        <v>396.584</v>
      </c>
      <c r="AK13" s="54">
        <v>2470.852</v>
      </c>
      <c r="AL13" s="26">
        <v>170.518</v>
      </c>
    </row>
    <row r="14" spans="1:38" ht="14.25" customHeight="1">
      <c r="A14" s="21" t="s">
        <v>11</v>
      </c>
      <c r="B14" s="11">
        <f aca="true" t="shared" si="6" ref="B14:G14">SUM(B15:B20)</f>
        <v>19970.92653046809</v>
      </c>
      <c r="C14" s="11">
        <f t="shared" si="6"/>
        <v>20726.547623252318</v>
      </c>
      <c r="D14" s="11">
        <f t="shared" si="6"/>
        <v>21609.124</v>
      </c>
      <c r="E14" s="11">
        <f t="shared" si="6"/>
        <v>22416.156000000003</v>
      </c>
      <c r="F14" s="11">
        <f t="shared" si="6"/>
        <v>23242.559999999998</v>
      </c>
      <c r="G14" s="11">
        <f t="shared" si="6"/>
        <v>24068.405000000002</v>
      </c>
      <c r="H14" s="11">
        <f aca="true" t="shared" si="7" ref="H14:M14">SUM(H15:H20)</f>
        <v>24730.079999999998</v>
      </c>
      <c r="I14" s="11">
        <f t="shared" si="7"/>
        <v>25126.046</v>
      </c>
      <c r="J14" s="11">
        <f t="shared" si="7"/>
        <v>26111.057999999997</v>
      </c>
      <c r="K14" s="11">
        <f t="shared" si="7"/>
        <v>27251.535999999996</v>
      </c>
      <c r="L14" s="11">
        <f t="shared" si="7"/>
        <v>28230.688</v>
      </c>
      <c r="M14" s="11">
        <f t="shared" si="7"/>
        <v>28331.858000000004</v>
      </c>
      <c r="N14" s="11">
        <f>SUM(N15:N20)</f>
        <v>29505.940000000002</v>
      </c>
      <c r="O14" s="11">
        <f>SUM(O15:O20)</f>
        <v>30623.337999999996</v>
      </c>
      <c r="P14" s="11">
        <f>SUM(P15:P20)</f>
        <v>31333.549000000003</v>
      </c>
      <c r="Q14" s="52">
        <f>SUM(Q15:Q20)</f>
        <v>30283.825000000004</v>
      </c>
      <c r="R14" s="22">
        <f>SUM(R15:R20)</f>
        <v>30977.887000000002</v>
      </c>
      <c r="S14" s="2"/>
      <c r="T14" s="25"/>
      <c r="U14" s="8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64"/>
      <c r="AK14" s="64"/>
      <c r="AL14" s="41"/>
    </row>
    <row r="15" spans="1:38" ht="14.25" customHeight="1">
      <c r="A15" s="23" t="s">
        <v>12</v>
      </c>
      <c r="B15" s="12">
        <v>5399.551442800127</v>
      </c>
      <c r="C15" s="12">
        <v>5703.312797587512</v>
      </c>
      <c r="D15" s="13">
        <v>5897.776</v>
      </c>
      <c r="E15" s="13">
        <v>5971.892</v>
      </c>
      <c r="F15" s="13">
        <v>6071.073</v>
      </c>
      <c r="G15" s="13">
        <v>6187.037</v>
      </c>
      <c r="H15" s="13">
        <v>6305.417</v>
      </c>
      <c r="I15" s="13">
        <v>6290.961</v>
      </c>
      <c r="J15" s="13">
        <v>6475.87</v>
      </c>
      <c r="K15" s="13">
        <v>6614.028</v>
      </c>
      <c r="L15" s="13">
        <v>6762.937</v>
      </c>
      <c r="M15" s="13">
        <v>6915.032</v>
      </c>
      <c r="N15" s="13">
        <v>7091.373</v>
      </c>
      <c r="O15" s="13">
        <v>7317.634</v>
      </c>
      <c r="P15" s="13">
        <v>7362.073</v>
      </c>
      <c r="Q15" s="53">
        <v>7556.962</v>
      </c>
      <c r="R15" s="24">
        <v>7724.224</v>
      </c>
      <c r="S15" s="2"/>
      <c r="T15" s="19" t="s">
        <v>54</v>
      </c>
      <c r="U15" s="87"/>
      <c r="V15" s="10">
        <f aca="true" t="shared" si="8" ref="V15:AA15">V16+V17</f>
        <v>775.6016502599343</v>
      </c>
      <c r="W15" s="10">
        <f t="shared" si="8"/>
        <v>790.7404137086615</v>
      </c>
      <c r="X15" s="10">
        <f t="shared" si="8"/>
        <v>814.503</v>
      </c>
      <c r="Y15" s="10">
        <f t="shared" si="8"/>
        <v>914.8510000000001</v>
      </c>
      <c r="Z15" s="10">
        <f t="shared" si="8"/>
        <v>942.0640000000001</v>
      </c>
      <c r="AA15" s="10">
        <f t="shared" si="8"/>
        <v>961.086</v>
      </c>
      <c r="AB15" s="10">
        <f aca="true" t="shared" si="9" ref="AB15:AG15">AB16+AB17</f>
        <v>1001.2049999999999</v>
      </c>
      <c r="AC15" s="10">
        <f t="shared" si="9"/>
        <v>1108.873</v>
      </c>
      <c r="AD15" s="10">
        <f t="shared" si="9"/>
        <v>1164.815</v>
      </c>
      <c r="AE15" s="10">
        <f t="shared" si="9"/>
        <v>1204.419</v>
      </c>
      <c r="AF15" s="10">
        <f t="shared" si="9"/>
        <v>1227.574</v>
      </c>
      <c r="AG15" s="10">
        <f t="shared" si="9"/>
        <v>1226.8110000000001</v>
      </c>
      <c r="AH15" s="10">
        <f>AH16+AH17</f>
        <v>1201.103</v>
      </c>
      <c r="AI15" s="10">
        <f>AI16+AI17</f>
        <v>1183.563</v>
      </c>
      <c r="AJ15" s="51">
        <f>AJ16+AJ17</f>
        <v>1165.165</v>
      </c>
      <c r="AK15" s="51">
        <f>AK16+AK17</f>
        <v>860.793</v>
      </c>
      <c r="AL15" s="20">
        <f>AL16+AL17</f>
        <v>893.9290000000001</v>
      </c>
    </row>
    <row r="16" spans="1:38" ht="14.25" customHeight="1">
      <c r="A16" s="23" t="s">
        <v>14</v>
      </c>
      <c r="B16" s="12">
        <v>7619.617607930397</v>
      </c>
      <c r="C16" s="12">
        <v>7817.605743954065</v>
      </c>
      <c r="D16" s="13">
        <v>8196.454</v>
      </c>
      <c r="E16" s="13">
        <v>8576.547</v>
      </c>
      <c r="F16" s="13">
        <v>9019.947</v>
      </c>
      <c r="G16" s="13">
        <v>9522.814</v>
      </c>
      <c r="H16" s="13">
        <v>9986.886</v>
      </c>
      <c r="I16" s="13">
        <v>10216.554</v>
      </c>
      <c r="J16" s="13">
        <v>10581.84</v>
      </c>
      <c r="K16" s="13">
        <v>10968.182</v>
      </c>
      <c r="L16" s="13">
        <v>11551.488</v>
      </c>
      <c r="M16" s="13">
        <v>11808.065</v>
      </c>
      <c r="N16" s="13">
        <v>12235.828</v>
      </c>
      <c r="O16" s="13">
        <v>12663.614</v>
      </c>
      <c r="P16" s="13">
        <v>12979.659</v>
      </c>
      <c r="Q16" s="53">
        <v>13104.884</v>
      </c>
      <c r="R16" s="24">
        <v>13380.229</v>
      </c>
      <c r="S16" s="2"/>
      <c r="T16" s="25" t="s">
        <v>56</v>
      </c>
      <c r="U16" s="89"/>
      <c r="V16" s="11">
        <v>249.7108008604494</v>
      </c>
      <c r="W16" s="11">
        <v>268.6080599018119</v>
      </c>
      <c r="X16" s="14">
        <v>314.355</v>
      </c>
      <c r="Y16" s="14">
        <v>347.559</v>
      </c>
      <c r="Z16" s="14">
        <v>368.306</v>
      </c>
      <c r="AA16" s="14">
        <v>457.713</v>
      </c>
      <c r="AB16" s="14">
        <v>530.924</v>
      </c>
      <c r="AC16" s="14">
        <v>540.581</v>
      </c>
      <c r="AD16" s="14">
        <v>559.73</v>
      </c>
      <c r="AE16" s="14">
        <v>865.421</v>
      </c>
      <c r="AF16" s="14">
        <v>911.823</v>
      </c>
      <c r="AG16" s="14">
        <v>888.859</v>
      </c>
      <c r="AH16" s="14">
        <v>902.956</v>
      </c>
      <c r="AI16" s="14">
        <v>879.1</v>
      </c>
      <c r="AJ16" s="54">
        <v>853.146</v>
      </c>
      <c r="AK16" s="54">
        <v>669.932</v>
      </c>
      <c r="AL16" s="26">
        <v>686.854</v>
      </c>
    </row>
    <row r="17" spans="1:38" ht="14.25" customHeight="1">
      <c r="A17" s="23" t="s">
        <v>15</v>
      </c>
      <c r="B17" s="12">
        <v>5829.712751840397</v>
      </c>
      <c r="C17" s="12">
        <v>5954.7996629513955</v>
      </c>
      <c r="D17" s="13">
        <v>6164.539</v>
      </c>
      <c r="E17" s="13">
        <v>6351.121</v>
      </c>
      <c r="F17" s="13">
        <v>6500.357</v>
      </c>
      <c r="G17" s="13">
        <v>6723.623</v>
      </c>
      <c r="H17" s="13">
        <v>6848.855</v>
      </c>
      <c r="I17" s="13">
        <v>6836.625</v>
      </c>
      <c r="J17" s="13">
        <v>7104.989</v>
      </c>
      <c r="K17" s="13">
        <v>7947.889</v>
      </c>
      <c r="L17" s="13">
        <v>8346.491</v>
      </c>
      <c r="M17" s="13">
        <v>7921.828</v>
      </c>
      <c r="N17" s="13">
        <v>8334.846</v>
      </c>
      <c r="O17" s="13">
        <v>8746.818</v>
      </c>
      <c r="P17" s="13">
        <v>8979.168</v>
      </c>
      <c r="Q17" s="53">
        <v>7856.302</v>
      </c>
      <c r="R17" s="24">
        <v>7945.195</v>
      </c>
      <c r="S17" s="2"/>
      <c r="T17" s="25" t="s">
        <v>13</v>
      </c>
      <c r="U17" s="89"/>
      <c r="V17" s="11">
        <v>525.890849399485</v>
      </c>
      <c r="W17" s="11">
        <v>522.1323538068497</v>
      </c>
      <c r="X17" s="14">
        <v>500.148</v>
      </c>
      <c r="Y17" s="14">
        <v>567.292</v>
      </c>
      <c r="Z17" s="14">
        <v>573.758</v>
      </c>
      <c r="AA17" s="14">
        <v>503.373</v>
      </c>
      <c r="AB17" s="14">
        <v>470.281</v>
      </c>
      <c r="AC17" s="14">
        <v>568.292</v>
      </c>
      <c r="AD17" s="14">
        <v>605.085</v>
      </c>
      <c r="AE17" s="14">
        <v>338.998</v>
      </c>
      <c r="AF17" s="14">
        <v>315.751</v>
      </c>
      <c r="AG17" s="14">
        <v>337.952</v>
      </c>
      <c r="AH17" s="14">
        <v>298.147</v>
      </c>
      <c r="AI17" s="14">
        <v>304.463</v>
      </c>
      <c r="AJ17" s="54">
        <v>312.019</v>
      </c>
      <c r="AK17" s="54">
        <v>190.861</v>
      </c>
      <c r="AL17" s="26">
        <v>207.075</v>
      </c>
    </row>
    <row r="18" spans="1:38" ht="14.25" customHeight="1">
      <c r="A18" s="23" t="s">
        <v>16</v>
      </c>
      <c r="B18" s="12">
        <v>564.20725461802</v>
      </c>
      <c r="C18" s="12">
        <v>604.0016953342988</v>
      </c>
      <c r="D18" s="13">
        <v>688.032</v>
      </c>
      <c r="E18" s="13">
        <v>753.449</v>
      </c>
      <c r="F18" s="13">
        <v>781.8</v>
      </c>
      <c r="G18" s="13">
        <v>771.668</v>
      </c>
      <c r="H18" s="13">
        <v>702.171</v>
      </c>
      <c r="I18" s="13">
        <v>685.887</v>
      </c>
      <c r="J18" s="13">
        <v>626.675</v>
      </c>
      <c r="K18" s="13">
        <v>630.213</v>
      </c>
      <c r="L18" s="13">
        <v>637.398</v>
      </c>
      <c r="M18" s="13">
        <v>624.247</v>
      </c>
      <c r="N18" s="13">
        <v>627.074</v>
      </c>
      <c r="O18" s="13">
        <v>628.17</v>
      </c>
      <c r="P18" s="13">
        <v>614.665</v>
      </c>
      <c r="Q18" s="53">
        <v>607.684</v>
      </c>
      <c r="R18" s="24">
        <v>587.257</v>
      </c>
      <c r="S18" s="2"/>
      <c r="T18" s="25"/>
      <c r="U18" s="8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64"/>
      <c r="AK18" s="64"/>
      <c r="AL18" s="41"/>
    </row>
    <row r="19" spans="1:38" ht="14.25" customHeight="1">
      <c r="A19" s="23" t="s">
        <v>17</v>
      </c>
      <c r="B19" s="12">
        <v>45.164681208194786</v>
      </c>
      <c r="C19" s="12">
        <v>46.60285616736717</v>
      </c>
      <c r="D19" s="13">
        <v>47.568</v>
      </c>
      <c r="E19" s="13">
        <v>48.962</v>
      </c>
      <c r="F19" s="13">
        <v>48.761</v>
      </c>
      <c r="G19" s="13">
        <v>50.163</v>
      </c>
      <c r="H19" s="13">
        <v>49.505</v>
      </c>
      <c r="I19" s="13">
        <v>50.341</v>
      </c>
      <c r="J19" s="13">
        <v>52.35</v>
      </c>
      <c r="K19" s="13">
        <v>53.639</v>
      </c>
      <c r="L19" s="13">
        <v>54.525</v>
      </c>
      <c r="M19" s="13">
        <v>56.198</v>
      </c>
      <c r="N19" s="13">
        <v>59.062</v>
      </c>
      <c r="O19" s="13">
        <v>60.174</v>
      </c>
      <c r="P19" s="13">
        <v>62.228</v>
      </c>
      <c r="Q19" s="53">
        <v>56.878</v>
      </c>
      <c r="R19" s="24">
        <v>59.547</v>
      </c>
      <c r="S19" s="2"/>
      <c r="T19" s="19" t="s">
        <v>55</v>
      </c>
      <c r="U19" s="87"/>
      <c r="V19" s="16">
        <v>729.2882455140075</v>
      </c>
      <c r="W19" s="16">
        <f aca="true" t="shared" si="10" ref="W19:AB19">W20+W21</f>
        <v>680.8963743728693</v>
      </c>
      <c r="X19" s="16">
        <f t="shared" si="10"/>
        <v>665.094</v>
      </c>
      <c r="Y19" s="16">
        <f t="shared" si="10"/>
        <v>665.961</v>
      </c>
      <c r="Z19" s="16">
        <f t="shared" si="10"/>
        <v>626.106</v>
      </c>
      <c r="AA19" s="16">
        <f t="shared" si="10"/>
        <v>582.155</v>
      </c>
      <c r="AB19" s="16">
        <f t="shared" si="10"/>
        <v>535.332</v>
      </c>
      <c r="AC19" s="16">
        <f aca="true" t="shared" si="11" ref="AC19:AH19">AC20+AC21</f>
        <v>519.515</v>
      </c>
      <c r="AD19" s="16">
        <f t="shared" si="11"/>
        <v>471.645</v>
      </c>
      <c r="AE19" s="16">
        <f t="shared" si="11"/>
        <v>442.272</v>
      </c>
      <c r="AF19" s="16">
        <f t="shared" si="11"/>
        <v>418.066</v>
      </c>
      <c r="AG19" s="16">
        <f t="shared" si="11"/>
        <v>395.202</v>
      </c>
      <c r="AH19" s="16">
        <f t="shared" si="11"/>
        <v>398.452</v>
      </c>
      <c r="AI19" s="16">
        <f>AI20+AI21</f>
        <v>349.434</v>
      </c>
      <c r="AJ19" s="55">
        <f>AJ20+AJ21</f>
        <v>341.403</v>
      </c>
      <c r="AK19" s="55">
        <f>AK20+AK21</f>
        <v>303.943</v>
      </c>
      <c r="AL19" s="31">
        <f>AL20+AL21</f>
        <v>307.377</v>
      </c>
    </row>
    <row r="20" spans="1:38" ht="14.25" customHeight="1">
      <c r="A20" s="23" t="s">
        <v>77</v>
      </c>
      <c r="B20" s="12">
        <v>512.6727920709484</v>
      </c>
      <c r="C20" s="12">
        <v>600.2248672576791</v>
      </c>
      <c r="D20" s="13">
        <v>614.755</v>
      </c>
      <c r="E20" s="13">
        <v>714.185</v>
      </c>
      <c r="F20" s="13">
        <v>820.622</v>
      </c>
      <c r="G20" s="13">
        <v>813.1</v>
      </c>
      <c r="H20" s="13">
        <v>837.246</v>
      </c>
      <c r="I20" s="13">
        <v>1045.678</v>
      </c>
      <c r="J20" s="13">
        <v>1269.334</v>
      </c>
      <c r="K20" s="13">
        <v>1037.585</v>
      </c>
      <c r="L20" s="13">
        <v>877.849</v>
      </c>
      <c r="M20" s="13">
        <v>1006.488</v>
      </c>
      <c r="N20" s="13">
        <v>1157.757</v>
      </c>
      <c r="O20" s="13">
        <v>1206.928</v>
      </c>
      <c r="P20" s="13">
        <v>1335.756</v>
      </c>
      <c r="Q20" s="53">
        <v>1101.115</v>
      </c>
      <c r="R20" s="24">
        <v>1281.435</v>
      </c>
      <c r="T20" s="21" t="s">
        <v>57</v>
      </c>
      <c r="U20" s="88"/>
      <c r="V20" s="11"/>
      <c r="W20" s="11">
        <v>639.5870650029517</v>
      </c>
      <c r="X20" s="14">
        <v>614.957</v>
      </c>
      <c r="Y20" s="14">
        <v>593.268</v>
      </c>
      <c r="Z20" s="14">
        <v>547.744</v>
      </c>
      <c r="AA20" s="14">
        <v>502.247</v>
      </c>
      <c r="AB20" s="14">
        <v>449.432</v>
      </c>
      <c r="AC20" s="14">
        <v>405.51</v>
      </c>
      <c r="AD20" s="14">
        <v>380.272</v>
      </c>
      <c r="AE20" s="14">
        <v>356.51</v>
      </c>
      <c r="AF20" s="14">
        <v>338.777</v>
      </c>
      <c r="AG20" s="14">
        <v>317.421</v>
      </c>
      <c r="AH20" s="14">
        <v>280.191</v>
      </c>
      <c r="AI20" s="14">
        <v>256.026</v>
      </c>
      <c r="AJ20" s="54">
        <v>234.252</v>
      </c>
      <c r="AK20" s="54">
        <v>191.775</v>
      </c>
      <c r="AL20" s="26">
        <v>173.488</v>
      </c>
    </row>
    <row r="21" spans="1:38" ht="14.25" customHeight="1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83"/>
      <c r="R21" s="28"/>
      <c r="T21" s="25" t="s">
        <v>58</v>
      </c>
      <c r="U21" s="89"/>
      <c r="V21" s="11"/>
      <c r="W21" s="11">
        <v>41.30930936991757</v>
      </c>
      <c r="X21" s="14">
        <v>50.137</v>
      </c>
      <c r="Y21" s="14">
        <v>72.693</v>
      </c>
      <c r="Z21" s="14">
        <v>78.362</v>
      </c>
      <c r="AA21" s="14">
        <v>79.908</v>
      </c>
      <c r="AB21" s="14">
        <v>85.9</v>
      </c>
      <c r="AC21" s="14">
        <v>114.005</v>
      </c>
      <c r="AD21" s="14">
        <v>91.373</v>
      </c>
      <c r="AE21" s="14">
        <v>85.762</v>
      </c>
      <c r="AF21" s="14">
        <v>79.289</v>
      </c>
      <c r="AG21" s="14">
        <v>77.781</v>
      </c>
      <c r="AH21" s="14">
        <v>118.261</v>
      </c>
      <c r="AI21" s="14">
        <v>93.408</v>
      </c>
      <c r="AJ21" s="54">
        <v>107.151</v>
      </c>
      <c r="AK21" s="54">
        <v>112.168</v>
      </c>
      <c r="AL21" s="26">
        <v>133.889</v>
      </c>
    </row>
    <row r="22" spans="1:38" ht="14.25" customHeight="1">
      <c r="A22" s="21" t="s">
        <v>47</v>
      </c>
      <c r="B22" s="11">
        <f aca="true" t="shared" si="12" ref="B22:G22">SUM(B23:B26)</f>
        <v>6704.5261052890055</v>
      </c>
      <c r="C22" s="11">
        <f t="shared" si="12"/>
        <v>6649.591555620587</v>
      </c>
      <c r="D22" s="11">
        <f t="shared" si="12"/>
        <v>6914.570000000001</v>
      </c>
      <c r="E22" s="11">
        <f t="shared" si="12"/>
        <v>7294.7119999999995</v>
      </c>
      <c r="F22" s="11">
        <f t="shared" si="12"/>
        <v>7480.908</v>
      </c>
      <c r="G22" s="11">
        <f t="shared" si="12"/>
        <v>7617.147</v>
      </c>
      <c r="H22" s="11">
        <f aca="true" t="shared" si="13" ref="H22:M22">SUM(H23:H26)</f>
        <v>7970.192</v>
      </c>
      <c r="I22" s="11">
        <f t="shared" si="13"/>
        <v>8318.720000000001</v>
      </c>
      <c r="J22" s="11">
        <f t="shared" si="13"/>
        <v>8515.155</v>
      </c>
      <c r="K22" s="11">
        <f t="shared" si="13"/>
        <v>8833.431</v>
      </c>
      <c r="L22" s="11">
        <f t="shared" si="13"/>
        <v>9087.271</v>
      </c>
      <c r="M22" s="11">
        <f t="shared" si="13"/>
        <v>10869.386999999999</v>
      </c>
      <c r="N22" s="11">
        <f>SUM(N23:N26)</f>
        <v>11153.859</v>
      </c>
      <c r="O22" s="11">
        <f>SUM(O23:O26)</f>
        <v>11539.167000000001</v>
      </c>
      <c r="P22" s="11">
        <f>SUM(P23:P26)</f>
        <v>11782.365</v>
      </c>
      <c r="Q22" s="52">
        <f>SUM(Q23:Q26)</f>
        <v>15880.581</v>
      </c>
      <c r="R22" s="22">
        <f>SUM(R23:R26)</f>
        <v>16284.777000000002</v>
      </c>
      <c r="T22" s="25"/>
      <c r="U22" s="8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64"/>
      <c r="AK22" s="64"/>
      <c r="AL22" s="41"/>
    </row>
    <row r="23" spans="1:38" ht="14.25" customHeight="1">
      <c r="A23" s="23" t="s">
        <v>21</v>
      </c>
      <c r="B23" s="12">
        <v>4576.429134858125</v>
      </c>
      <c r="C23" s="12">
        <v>4884.086562961991</v>
      </c>
      <c r="D23" s="13">
        <v>5092.581</v>
      </c>
      <c r="E23" s="13">
        <v>5173.375</v>
      </c>
      <c r="F23" s="13">
        <v>5299.608</v>
      </c>
      <c r="G23" s="13">
        <v>5399.656</v>
      </c>
      <c r="H23" s="13">
        <v>5479.851</v>
      </c>
      <c r="I23" s="13">
        <v>5593.517</v>
      </c>
      <c r="J23" s="13">
        <v>5766.584</v>
      </c>
      <c r="K23" s="13">
        <v>5839.029</v>
      </c>
      <c r="L23" s="13">
        <v>5948.133</v>
      </c>
      <c r="M23" s="13">
        <v>6578.257</v>
      </c>
      <c r="N23" s="13">
        <v>6760.154</v>
      </c>
      <c r="O23" s="13">
        <v>7061.88</v>
      </c>
      <c r="P23" s="13">
        <v>7448.528</v>
      </c>
      <c r="Q23" s="53">
        <v>10473.444</v>
      </c>
      <c r="R23" s="24">
        <v>10679.851</v>
      </c>
      <c r="T23" s="30" t="s">
        <v>18</v>
      </c>
      <c r="U23" s="90"/>
      <c r="V23" s="16">
        <f aca="true" t="shared" si="14" ref="V23:AA23">V24+V25+V26</f>
        <v>1878.2736518476286</v>
      </c>
      <c r="W23" s="16">
        <f t="shared" si="14"/>
        <v>1944.2811900304923</v>
      </c>
      <c r="X23" s="16">
        <f t="shared" si="14"/>
        <v>1468.245</v>
      </c>
      <c r="Y23" s="16">
        <f t="shared" si="14"/>
        <v>1407.223</v>
      </c>
      <c r="Z23" s="16">
        <f t="shared" si="14"/>
        <v>1271.595</v>
      </c>
      <c r="AA23" s="16">
        <f t="shared" si="14"/>
        <v>1262.5810000000001</v>
      </c>
      <c r="AB23" s="16">
        <f aca="true" t="shared" si="15" ref="AB23:AG23">AB24+AB25+AB26</f>
        <v>1185.722</v>
      </c>
      <c r="AC23" s="16">
        <f t="shared" si="15"/>
        <v>1175.232</v>
      </c>
      <c r="AD23" s="16">
        <f t="shared" si="15"/>
        <v>1140.324</v>
      </c>
      <c r="AE23" s="16">
        <f t="shared" si="15"/>
        <v>1128.443</v>
      </c>
      <c r="AF23" s="16">
        <f t="shared" si="15"/>
        <v>1166.603</v>
      </c>
      <c r="AG23" s="16">
        <f t="shared" si="15"/>
        <v>1190.154</v>
      </c>
      <c r="AH23" s="16">
        <f>AH24+AH25+AH26</f>
        <v>1063.42</v>
      </c>
      <c r="AI23" s="16">
        <f>AI24+AI25+AI26</f>
        <v>1072.8200000000002</v>
      </c>
      <c r="AJ23" s="55">
        <f>AJ24+AJ25+AJ26</f>
        <v>895.0360000000001</v>
      </c>
      <c r="AK23" s="55">
        <f>AK24+AK25+AK26</f>
        <v>899.1469999999999</v>
      </c>
      <c r="AL23" s="31">
        <f>AL24+AL25+AL26</f>
        <v>896.36</v>
      </c>
    </row>
    <row r="24" spans="1:38" ht="14.25" customHeight="1">
      <c r="A24" s="23" t="s">
        <v>23</v>
      </c>
      <c r="B24" s="12">
        <v>112.33187514401091</v>
      </c>
      <c r="C24" s="12">
        <v>120.25218097693639</v>
      </c>
      <c r="D24" s="13">
        <v>113.287</v>
      </c>
      <c r="E24" s="13">
        <v>208.23</v>
      </c>
      <c r="F24" s="13">
        <v>254.235</v>
      </c>
      <c r="G24" s="13">
        <v>279.779</v>
      </c>
      <c r="H24" s="13">
        <v>480.452</v>
      </c>
      <c r="I24" s="13">
        <v>432.783</v>
      </c>
      <c r="J24" s="13">
        <v>486.501</v>
      </c>
      <c r="K24" s="13">
        <v>472.25</v>
      </c>
      <c r="L24" s="13">
        <v>516.214</v>
      </c>
      <c r="M24" s="13">
        <v>464.778</v>
      </c>
      <c r="N24" s="13">
        <v>404.876</v>
      </c>
      <c r="O24" s="13">
        <v>314.176</v>
      </c>
      <c r="P24" s="13">
        <v>213.461</v>
      </c>
      <c r="Q24" s="53">
        <v>213.267</v>
      </c>
      <c r="R24" s="24">
        <v>150</v>
      </c>
      <c r="T24" s="25" t="s">
        <v>19</v>
      </c>
      <c r="U24" s="89"/>
      <c r="V24" s="11">
        <v>1284.118855043872</v>
      </c>
      <c r="W24" s="11">
        <v>1175.9985737663835</v>
      </c>
      <c r="X24" s="14">
        <v>1051.561</v>
      </c>
      <c r="Y24" s="14">
        <v>940.25</v>
      </c>
      <c r="Z24" s="14">
        <v>855.689</v>
      </c>
      <c r="AA24" s="14">
        <v>806.629</v>
      </c>
      <c r="AB24" s="14">
        <v>774.274</v>
      </c>
      <c r="AC24" s="14">
        <v>732.263</v>
      </c>
      <c r="AD24" s="14">
        <v>688.45</v>
      </c>
      <c r="AE24" s="14">
        <v>639.982</v>
      </c>
      <c r="AF24" s="14">
        <v>601.951</v>
      </c>
      <c r="AG24" s="14">
        <v>552.263</v>
      </c>
      <c r="AH24" s="14">
        <v>519.296</v>
      </c>
      <c r="AI24" s="14">
        <v>473.87</v>
      </c>
      <c r="AJ24" s="54">
        <v>314.856</v>
      </c>
      <c r="AK24" s="54">
        <v>249.943</v>
      </c>
      <c r="AL24" s="26">
        <v>221.288</v>
      </c>
    </row>
    <row r="25" spans="1:38" ht="14.25" customHeight="1">
      <c r="A25" s="23" t="s">
        <v>48</v>
      </c>
      <c r="B25" s="12">
        <v>1671.2139636344064</v>
      </c>
      <c r="C25" s="12">
        <v>1499.7468771706754</v>
      </c>
      <c r="D25" s="13">
        <v>1588.032</v>
      </c>
      <c r="E25" s="13">
        <v>1762.652</v>
      </c>
      <c r="F25" s="13">
        <v>1805.849</v>
      </c>
      <c r="G25" s="13">
        <v>1826.038</v>
      </c>
      <c r="H25" s="13">
        <v>1916.061</v>
      </c>
      <c r="I25" s="13">
        <v>2221.402</v>
      </c>
      <c r="J25" s="13">
        <v>2209.132</v>
      </c>
      <c r="K25" s="13">
        <v>2472.857</v>
      </c>
      <c r="L25" s="13">
        <v>2576.906</v>
      </c>
      <c r="M25" s="13">
        <v>3759.727</v>
      </c>
      <c r="N25" s="13">
        <v>3946.738</v>
      </c>
      <c r="O25" s="13">
        <v>4122.224</v>
      </c>
      <c r="P25" s="13">
        <v>4076.1</v>
      </c>
      <c r="Q25" s="53">
        <v>5140.076</v>
      </c>
      <c r="R25" s="24">
        <v>5402.639</v>
      </c>
      <c r="T25" s="25" t="s">
        <v>61</v>
      </c>
      <c r="U25" s="89"/>
      <c r="V25" s="11"/>
      <c r="W25" s="11">
        <v>119.22051623602147</v>
      </c>
      <c r="X25" s="14">
        <v>128.119</v>
      </c>
      <c r="Y25" s="14">
        <v>128.329</v>
      </c>
      <c r="Z25" s="14">
        <v>135.032</v>
      </c>
      <c r="AA25" s="14">
        <v>143.724</v>
      </c>
      <c r="AB25" s="14">
        <v>151.439</v>
      </c>
      <c r="AC25" s="14">
        <v>160.433</v>
      </c>
      <c r="AD25" s="14">
        <v>141.672</v>
      </c>
      <c r="AE25" s="14">
        <v>133.756</v>
      </c>
      <c r="AF25" s="14">
        <v>142.471</v>
      </c>
      <c r="AG25" s="14">
        <v>149.62</v>
      </c>
      <c r="AH25" s="14">
        <v>148.394</v>
      </c>
      <c r="AI25" s="14">
        <v>155.855</v>
      </c>
      <c r="AJ25" s="54">
        <v>165.243</v>
      </c>
      <c r="AK25" s="54">
        <v>168.855</v>
      </c>
      <c r="AL25" s="26">
        <v>180.805</v>
      </c>
    </row>
    <row r="26" spans="1:38" ht="14.25" customHeight="1">
      <c r="A26" s="23" t="s">
        <v>42</v>
      </c>
      <c r="B26" s="12">
        <v>344.5511316524632</v>
      </c>
      <c r="C26" s="12">
        <v>145.50593451098518</v>
      </c>
      <c r="D26" s="13">
        <v>120.67</v>
      </c>
      <c r="E26" s="13">
        <v>150.455</v>
      </c>
      <c r="F26" s="13">
        <v>121.216</v>
      </c>
      <c r="G26" s="13">
        <v>111.674</v>
      </c>
      <c r="H26" s="13">
        <v>93.828</v>
      </c>
      <c r="I26" s="13">
        <v>71.018</v>
      </c>
      <c r="J26" s="13">
        <v>52.938</v>
      </c>
      <c r="K26" s="13">
        <v>49.295</v>
      </c>
      <c r="L26" s="13">
        <v>46.018</v>
      </c>
      <c r="M26" s="13">
        <v>66.625</v>
      </c>
      <c r="N26" s="13">
        <v>42.091</v>
      </c>
      <c r="O26" s="13">
        <v>40.887</v>
      </c>
      <c r="P26" s="13">
        <v>44.276</v>
      </c>
      <c r="Q26" s="53">
        <v>53.794</v>
      </c>
      <c r="R26" s="24">
        <v>52.287</v>
      </c>
      <c r="T26" s="25" t="s">
        <v>20</v>
      </c>
      <c r="U26" s="89"/>
      <c r="V26" s="11">
        <v>594.1547968037567</v>
      </c>
      <c r="W26" s="11">
        <v>649.0621000280873</v>
      </c>
      <c r="X26" s="14">
        <v>288.565</v>
      </c>
      <c r="Y26" s="14">
        <v>338.644</v>
      </c>
      <c r="Z26" s="14">
        <v>280.874</v>
      </c>
      <c r="AA26" s="14">
        <v>312.228</v>
      </c>
      <c r="AB26" s="14">
        <v>260.009</v>
      </c>
      <c r="AC26" s="14">
        <v>282.536</v>
      </c>
      <c r="AD26" s="14">
        <v>310.202</v>
      </c>
      <c r="AE26" s="14">
        <v>354.705</v>
      </c>
      <c r="AF26" s="14">
        <v>422.181</v>
      </c>
      <c r="AG26" s="14">
        <v>488.271</v>
      </c>
      <c r="AH26" s="14">
        <v>395.73</v>
      </c>
      <c r="AI26" s="14">
        <v>443.095</v>
      </c>
      <c r="AJ26" s="54">
        <v>414.937</v>
      </c>
      <c r="AK26" s="54">
        <v>480.349</v>
      </c>
      <c r="AL26" s="26">
        <v>494.267</v>
      </c>
    </row>
    <row r="27" spans="1:38" ht="10.5" customHeight="1">
      <c r="A27" s="23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53"/>
      <c r="R27" s="24"/>
      <c r="T27" s="25"/>
      <c r="U27" s="8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64"/>
      <c r="AK27" s="64"/>
      <c r="AL27" s="41"/>
    </row>
    <row r="28" spans="1:38" ht="14.25" customHeight="1">
      <c r="A28" s="19"/>
      <c r="B28" s="10">
        <v>159.33131844197433</v>
      </c>
      <c r="C28" s="12" t="s">
        <v>97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3"/>
      <c r="R28" s="24"/>
      <c r="T28" s="19" t="s">
        <v>22</v>
      </c>
      <c r="U28" s="87"/>
      <c r="V28" s="10">
        <f aca="true" t="shared" si="16" ref="V28:AA28">V29+V39</f>
        <v>6459.784416715862</v>
      </c>
      <c r="W28" s="10">
        <f t="shared" si="16"/>
        <v>6887.214690206249</v>
      </c>
      <c r="X28" s="10">
        <f t="shared" si="16"/>
        <v>7313.661999999999</v>
      </c>
      <c r="Y28" s="10">
        <f t="shared" si="16"/>
        <v>7778.351999999999</v>
      </c>
      <c r="Z28" s="10">
        <f t="shared" si="16"/>
        <v>8521.715</v>
      </c>
      <c r="AA28" s="10">
        <f t="shared" si="16"/>
        <v>9626.812</v>
      </c>
      <c r="AB28" s="10">
        <f aca="true" t="shared" si="17" ref="AB28:AG28">AB29+AB39</f>
        <v>10657.145999999999</v>
      </c>
      <c r="AC28" s="10">
        <f t="shared" si="17"/>
        <v>11444.519</v>
      </c>
      <c r="AD28" s="10">
        <f t="shared" si="17"/>
        <v>12249.124</v>
      </c>
      <c r="AE28" s="10">
        <f t="shared" si="17"/>
        <v>13109.937</v>
      </c>
      <c r="AF28" s="10">
        <f t="shared" si="17"/>
        <v>14354.491</v>
      </c>
      <c r="AG28" s="10">
        <f t="shared" si="17"/>
        <v>15173.426</v>
      </c>
      <c r="AH28" s="10">
        <f>AH29+AH39</f>
        <v>16083.949</v>
      </c>
      <c r="AI28" s="10">
        <f>AI29+AI39</f>
        <v>17614.841</v>
      </c>
      <c r="AJ28" s="51">
        <f>AJ29+AJ39</f>
        <v>19293.08</v>
      </c>
      <c r="AK28" s="51">
        <f>AK29+AK39</f>
        <v>20054.446</v>
      </c>
      <c r="AL28" s="20">
        <f>AL29+AL39</f>
        <v>20852.405</v>
      </c>
    </row>
    <row r="29" spans="1:38" ht="14.25" customHeight="1">
      <c r="A29" s="30" t="s">
        <v>30</v>
      </c>
      <c r="B29" s="16">
        <f aca="true" t="shared" si="18" ref="B29:G29">B30+B31+B32</f>
        <v>1875.4938417990725</v>
      </c>
      <c r="C29" s="16">
        <f t="shared" si="18"/>
        <v>1850.649457678031</v>
      </c>
      <c r="D29" s="16">
        <f t="shared" si="18"/>
        <v>1368.341</v>
      </c>
      <c r="E29" s="16">
        <f t="shared" si="18"/>
        <v>1301.402</v>
      </c>
      <c r="F29" s="16">
        <f t="shared" si="18"/>
        <v>1181.411</v>
      </c>
      <c r="G29" s="16">
        <f t="shared" si="18"/>
        <v>1180.615</v>
      </c>
      <c r="H29" s="16">
        <f aca="true" t="shared" si="19" ref="H29:M29">H30+H31+H32</f>
        <v>1103.018</v>
      </c>
      <c r="I29" s="16">
        <f t="shared" si="19"/>
        <v>1100.6909999999998</v>
      </c>
      <c r="J29" s="16">
        <f t="shared" si="19"/>
        <v>1070.163</v>
      </c>
      <c r="K29" s="16">
        <f t="shared" si="19"/>
        <v>1060.0970000000002</v>
      </c>
      <c r="L29" s="16">
        <f t="shared" si="19"/>
        <v>1099.755</v>
      </c>
      <c r="M29" s="16">
        <f t="shared" si="19"/>
        <v>1127.036</v>
      </c>
      <c r="N29" s="16">
        <f>N30+N31+N32</f>
        <v>981.4590000000001</v>
      </c>
      <c r="O29" s="16">
        <f>O30+O31+O32</f>
        <v>1008.2650000000001</v>
      </c>
      <c r="P29" s="16">
        <f>P30+P31+P32</f>
        <v>810.848</v>
      </c>
      <c r="Q29" s="55">
        <f>Q30+Q31+Q32</f>
        <v>795.78</v>
      </c>
      <c r="R29" s="31">
        <f>R30+R31+R32</f>
        <v>796.796</v>
      </c>
      <c r="T29" s="21" t="s">
        <v>24</v>
      </c>
      <c r="U29" s="88"/>
      <c r="V29" s="11">
        <f aca="true" t="shared" si="20" ref="V29:AA29">SUM(V30:V37)</f>
        <v>2872.312903545906</v>
      </c>
      <c r="W29" s="11">
        <f t="shared" si="20"/>
        <v>3021.8871358100687</v>
      </c>
      <c r="X29" s="11">
        <f t="shared" si="20"/>
        <v>3033.3449999999993</v>
      </c>
      <c r="Y29" s="11">
        <f t="shared" si="20"/>
        <v>3669.200999999999</v>
      </c>
      <c r="Z29" s="11">
        <f t="shared" si="20"/>
        <v>4242.508000000001</v>
      </c>
      <c r="AA29" s="11">
        <f t="shared" si="20"/>
        <v>5127.7210000000005</v>
      </c>
      <c r="AB29" s="11">
        <f aca="true" t="shared" si="21" ref="AB29:AG29">SUM(AB30:AB37)</f>
        <v>5753.333999999999</v>
      </c>
      <c r="AC29" s="11">
        <f t="shared" si="21"/>
        <v>6143.489</v>
      </c>
      <c r="AD29" s="11">
        <f t="shared" si="21"/>
        <v>6619.437</v>
      </c>
      <c r="AE29" s="11">
        <f t="shared" si="21"/>
        <v>6878.019</v>
      </c>
      <c r="AF29" s="11">
        <f t="shared" si="21"/>
        <v>7927.715999999999</v>
      </c>
      <c r="AG29" s="11">
        <f t="shared" si="21"/>
        <v>8328.867</v>
      </c>
      <c r="AH29" s="11">
        <f>SUM(AH30:AH37)</f>
        <v>8786.809000000001</v>
      </c>
      <c r="AI29" s="11">
        <f>SUM(AI30:AI37)</f>
        <v>9488.689</v>
      </c>
      <c r="AJ29" s="52">
        <f>SUM(AJ30:AJ37)</f>
        <v>10563.110999999999</v>
      </c>
      <c r="AK29" s="52">
        <f>SUM(AK30:AK37)</f>
        <v>11221.234</v>
      </c>
      <c r="AL29" s="22">
        <f>SUM(AL30:AL37)</f>
        <v>11631.603000000001</v>
      </c>
    </row>
    <row r="30" spans="1:38" ht="14.25" customHeight="1">
      <c r="A30" s="25" t="s">
        <v>19</v>
      </c>
      <c r="B30" s="11">
        <v>1291.587576294248</v>
      </c>
      <c r="C30" s="11">
        <v>1177.5887906110772</v>
      </c>
      <c r="D30" s="14">
        <v>1056.196</v>
      </c>
      <c r="E30" s="14">
        <v>942.5</v>
      </c>
      <c r="F30" s="14">
        <v>857.862</v>
      </c>
      <c r="G30" s="14">
        <v>809.33</v>
      </c>
      <c r="H30" s="14">
        <v>775.505</v>
      </c>
      <c r="I30" s="14">
        <v>732.935</v>
      </c>
      <c r="J30" s="14">
        <v>689.626</v>
      </c>
      <c r="K30" s="14">
        <v>639.421</v>
      </c>
      <c r="L30" s="14">
        <v>601.362</v>
      </c>
      <c r="M30" s="14">
        <v>549.475</v>
      </c>
      <c r="N30" s="14">
        <v>517.359</v>
      </c>
      <c r="O30" s="14">
        <v>471.85</v>
      </c>
      <c r="P30" s="14">
        <v>311.827</v>
      </c>
      <c r="Q30" s="54">
        <v>245.75</v>
      </c>
      <c r="R30" s="26">
        <v>218.931</v>
      </c>
      <c r="T30" s="23" t="s">
        <v>25</v>
      </c>
      <c r="U30" s="91"/>
      <c r="V30" s="12">
        <v>416.98294406237756</v>
      </c>
      <c r="W30" s="12">
        <v>356.26003871686066</v>
      </c>
      <c r="X30" s="13">
        <v>206.864</v>
      </c>
      <c r="Y30" s="13">
        <v>195.073</v>
      </c>
      <c r="Z30" s="13">
        <v>76.09</v>
      </c>
      <c r="AA30" s="13">
        <v>112.277</v>
      </c>
      <c r="AB30" s="13">
        <v>129.801</v>
      </c>
      <c r="AC30" s="13">
        <v>55.169</v>
      </c>
      <c r="AD30" s="13">
        <v>47.533</v>
      </c>
      <c r="AE30" s="13">
        <v>30.815</v>
      </c>
      <c r="AF30" s="13">
        <v>463.11</v>
      </c>
      <c r="AG30" s="13">
        <v>383.804</v>
      </c>
      <c r="AH30" s="13">
        <v>374.5</v>
      </c>
      <c r="AI30" s="13">
        <v>358.767</v>
      </c>
      <c r="AJ30" s="53">
        <v>353.033</v>
      </c>
      <c r="AK30" s="53">
        <v>557.3</v>
      </c>
      <c r="AL30" s="24">
        <v>649.687</v>
      </c>
    </row>
    <row r="31" spans="1:38" ht="14.25" customHeight="1">
      <c r="A31" s="25" t="s">
        <v>60</v>
      </c>
      <c r="B31" s="11"/>
      <c r="C31" s="11">
        <v>84.04451598037583</v>
      </c>
      <c r="D31" s="14">
        <v>83.877</v>
      </c>
      <c r="E31" s="14">
        <v>84.909</v>
      </c>
      <c r="F31" s="14">
        <v>85.291</v>
      </c>
      <c r="G31" s="14">
        <v>91.294</v>
      </c>
      <c r="H31" s="14">
        <v>97.369</v>
      </c>
      <c r="I31" s="14">
        <v>100.434</v>
      </c>
      <c r="J31" s="14">
        <v>103.248</v>
      </c>
      <c r="K31" s="14">
        <v>92.427</v>
      </c>
      <c r="L31" s="14">
        <v>101.245</v>
      </c>
      <c r="M31" s="14">
        <v>106.67</v>
      </c>
      <c r="N31" s="14">
        <v>104.348</v>
      </c>
      <c r="O31" s="14">
        <v>108.12</v>
      </c>
      <c r="P31" s="14">
        <v>112.201</v>
      </c>
      <c r="Q31" s="54">
        <v>117.99</v>
      </c>
      <c r="R31" s="26">
        <v>128.789</v>
      </c>
      <c r="S31" s="4"/>
      <c r="T31" s="23" t="s">
        <v>26</v>
      </c>
      <c r="U31" s="91"/>
      <c r="V31" s="12">
        <v>1793.7481183975726</v>
      </c>
      <c r="W31" s="12">
        <v>1939.4948980192507</v>
      </c>
      <c r="X31" s="13">
        <v>2160.075</v>
      </c>
      <c r="Y31" s="13">
        <v>2842.269</v>
      </c>
      <c r="Z31" s="13">
        <v>3517.492</v>
      </c>
      <c r="AA31" s="13">
        <v>4313.819</v>
      </c>
      <c r="AB31" s="13">
        <v>4910.797</v>
      </c>
      <c r="AC31" s="13">
        <v>5366.754</v>
      </c>
      <c r="AD31" s="13">
        <v>5737.611</v>
      </c>
      <c r="AE31" s="13">
        <v>5839.919</v>
      </c>
      <c r="AF31" s="13">
        <v>6431.368</v>
      </c>
      <c r="AG31" s="13">
        <v>7006.357</v>
      </c>
      <c r="AH31" s="13">
        <v>7448.879</v>
      </c>
      <c r="AI31" s="13">
        <v>8141.1</v>
      </c>
      <c r="AJ31" s="53">
        <v>9264.304</v>
      </c>
      <c r="AK31" s="53">
        <v>9859.999</v>
      </c>
      <c r="AL31" s="24">
        <v>10186.503</v>
      </c>
    </row>
    <row r="32" spans="1:38" ht="14.25" customHeight="1">
      <c r="A32" s="25" t="s">
        <v>32</v>
      </c>
      <c r="B32" s="11">
        <v>583.9062655048244</v>
      </c>
      <c r="C32" s="11">
        <v>589.016151086578</v>
      </c>
      <c r="D32" s="14">
        <v>228.268</v>
      </c>
      <c r="E32" s="14">
        <v>273.993</v>
      </c>
      <c r="F32" s="14">
        <v>238.258</v>
      </c>
      <c r="G32" s="14">
        <v>279.991</v>
      </c>
      <c r="H32" s="14">
        <v>230.144</v>
      </c>
      <c r="I32" s="14">
        <v>267.322</v>
      </c>
      <c r="J32" s="14">
        <v>277.289</v>
      </c>
      <c r="K32" s="14">
        <v>328.249</v>
      </c>
      <c r="L32" s="14">
        <v>397.148</v>
      </c>
      <c r="M32" s="14">
        <v>470.891</v>
      </c>
      <c r="N32" s="14">
        <v>359.752</v>
      </c>
      <c r="O32" s="14">
        <v>428.295</v>
      </c>
      <c r="P32" s="14">
        <v>386.82</v>
      </c>
      <c r="Q32" s="54">
        <v>432.04</v>
      </c>
      <c r="R32" s="26">
        <v>449.076</v>
      </c>
      <c r="T32" s="23" t="s">
        <v>27</v>
      </c>
      <c r="U32" s="91"/>
      <c r="V32" s="12">
        <v>552.8925800532483</v>
      </c>
      <c r="W32" s="12">
        <v>491.49961400870876</v>
      </c>
      <c r="X32" s="13">
        <v>454.44</v>
      </c>
      <c r="Y32" s="13">
        <v>445.807</v>
      </c>
      <c r="Z32" s="13">
        <v>415.046</v>
      </c>
      <c r="AA32" s="13">
        <v>384.245</v>
      </c>
      <c r="AB32" s="13">
        <v>339.248</v>
      </c>
      <c r="AC32" s="13">
        <v>302.518</v>
      </c>
      <c r="AD32" s="13">
        <v>385.521</v>
      </c>
      <c r="AE32" s="13">
        <v>511.412</v>
      </c>
      <c r="AF32" s="13">
        <v>508.393</v>
      </c>
      <c r="AG32" s="13">
        <v>439.427</v>
      </c>
      <c r="AH32" s="13">
        <v>424.23</v>
      </c>
      <c r="AI32" s="13">
        <v>354.379</v>
      </c>
      <c r="AJ32" s="53">
        <v>293.543</v>
      </c>
      <c r="AK32" s="53">
        <v>239.075</v>
      </c>
      <c r="AL32" s="24">
        <v>182.678</v>
      </c>
    </row>
    <row r="33" spans="1:38" ht="14.25" customHeight="1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54"/>
      <c r="R33" s="26"/>
      <c r="S33" s="4"/>
      <c r="T33" s="23" t="s">
        <v>28</v>
      </c>
      <c r="U33" s="91"/>
      <c r="V33" s="12">
        <v>91.93639805372932</v>
      </c>
      <c r="W33" s="12">
        <v>109.98430806646114</v>
      </c>
      <c r="X33" s="12">
        <v>75.937</v>
      </c>
      <c r="Y33" s="12">
        <v>33.103</v>
      </c>
      <c r="Z33" s="12">
        <v>25.48</v>
      </c>
      <c r="AA33" s="12">
        <v>29.309</v>
      </c>
      <c r="AB33" s="12">
        <v>39.138</v>
      </c>
      <c r="AC33" s="12">
        <v>28.922</v>
      </c>
      <c r="AD33" s="12">
        <v>21.661</v>
      </c>
      <c r="AE33" s="12">
        <v>19.634</v>
      </c>
      <c r="AF33" s="12">
        <v>14.186</v>
      </c>
      <c r="AG33" s="12">
        <v>13.091</v>
      </c>
      <c r="AH33" s="12">
        <v>12.465</v>
      </c>
      <c r="AI33" s="12">
        <v>23.31</v>
      </c>
      <c r="AJ33" s="65">
        <v>32.04</v>
      </c>
      <c r="AK33" s="65">
        <v>29.827</v>
      </c>
      <c r="AL33" s="29">
        <v>32.439</v>
      </c>
    </row>
    <row r="34" spans="1:38" ht="14.25" customHeight="1">
      <c r="A34" s="19" t="s">
        <v>49</v>
      </c>
      <c r="B34" s="10">
        <f aca="true" t="shared" si="22" ref="B34:G34">B35+B42+B55+B61</f>
        <v>3854.6667944894903</v>
      </c>
      <c r="C34" s="10">
        <f t="shared" si="22"/>
        <v>4603.463325781695</v>
      </c>
      <c r="D34" s="10">
        <f t="shared" si="22"/>
        <v>4572.2080000000005</v>
      </c>
      <c r="E34" s="10">
        <f t="shared" si="22"/>
        <v>4859.9529999999995</v>
      </c>
      <c r="F34" s="10">
        <f t="shared" si="22"/>
        <v>4663.352</v>
      </c>
      <c r="G34" s="10">
        <f t="shared" si="22"/>
        <v>4538.38</v>
      </c>
      <c r="H34" s="10">
        <f aca="true" t="shared" si="23" ref="H34:M34">H35+H42+H55+H61</f>
        <v>4473.485</v>
      </c>
      <c r="I34" s="10">
        <f t="shared" si="23"/>
        <v>5383.279</v>
      </c>
      <c r="J34" s="10">
        <f t="shared" si="23"/>
        <v>5721.496999999999</v>
      </c>
      <c r="K34" s="10">
        <f t="shared" si="23"/>
        <v>5520.776</v>
      </c>
      <c r="L34" s="10">
        <f t="shared" si="23"/>
        <v>5686.111</v>
      </c>
      <c r="M34" s="10">
        <f t="shared" si="23"/>
        <v>6406.316</v>
      </c>
      <c r="N34" s="10">
        <f>N35+N42+N55+N61</f>
        <v>6337.832</v>
      </c>
      <c r="O34" s="10">
        <f>O35+O42+O55+O61</f>
        <v>6025.985999999999</v>
      </c>
      <c r="P34" s="10">
        <f>P35+P42+P55+P61</f>
        <v>6967.0740000000005</v>
      </c>
      <c r="Q34" s="51">
        <f>Q35+Q42+Q55+Q61</f>
        <v>6723.172</v>
      </c>
      <c r="R34" s="20">
        <f>R35+R42+R55+R61</f>
        <v>6424.1939999999995</v>
      </c>
      <c r="T34" s="23" t="s">
        <v>29</v>
      </c>
      <c r="U34" s="91"/>
      <c r="V34" s="12">
        <v>5.259909212157296</v>
      </c>
      <c r="W34" s="12">
        <v>13.47151653371411</v>
      </c>
      <c r="X34" s="12">
        <v>16.249</v>
      </c>
      <c r="Y34" s="12">
        <v>8.14</v>
      </c>
      <c r="Z34" s="12">
        <v>6.225</v>
      </c>
      <c r="AA34" s="12">
        <v>6.754</v>
      </c>
      <c r="AB34" s="12">
        <v>7.289</v>
      </c>
      <c r="AC34" s="12">
        <v>9.256</v>
      </c>
      <c r="AD34" s="12">
        <v>9.613</v>
      </c>
      <c r="AE34" s="12">
        <v>14.312</v>
      </c>
      <c r="AF34" s="12">
        <v>15.757</v>
      </c>
      <c r="AG34" s="12">
        <v>23.937</v>
      </c>
      <c r="AH34" s="12">
        <v>23.163</v>
      </c>
      <c r="AI34" s="12">
        <v>25.825</v>
      </c>
      <c r="AJ34" s="65">
        <v>22.643</v>
      </c>
      <c r="AK34" s="65">
        <v>49.049</v>
      </c>
      <c r="AL34" s="29">
        <v>52.441</v>
      </c>
    </row>
    <row r="35" spans="1:38" ht="14.25" customHeight="1">
      <c r="A35" s="21" t="s">
        <v>34</v>
      </c>
      <c r="B35" s="11">
        <f aca="true" t="shared" si="24" ref="B35:G35">SUM(B36:B40)</f>
        <v>118.37722197274348</v>
      </c>
      <c r="C35" s="11">
        <f t="shared" si="24"/>
        <v>123.04679156302085</v>
      </c>
      <c r="D35" s="11">
        <f t="shared" si="24"/>
        <v>122.63699999999999</v>
      </c>
      <c r="E35" s="11">
        <f t="shared" si="24"/>
        <v>121.83699999999999</v>
      </c>
      <c r="F35" s="11">
        <f t="shared" si="24"/>
        <v>145.445</v>
      </c>
      <c r="G35" s="11">
        <f t="shared" si="24"/>
        <v>166.476</v>
      </c>
      <c r="H35" s="11">
        <f aca="true" t="shared" si="25" ref="H35:M35">SUM(H36:H40)</f>
        <v>159.17</v>
      </c>
      <c r="I35" s="11">
        <f t="shared" si="25"/>
        <v>147.72800000000004</v>
      </c>
      <c r="J35" s="11">
        <f t="shared" si="25"/>
        <v>157.69000000000003</v>
      </c>
      <c r="K35" s="11">
        <f t="shared" si="25"/>
        <v>141.163</v>
      </c>
      <c r="L35" s="11">
        <f t="shared" si="25"/>
        <v>133.57799999999997</v>
      </c>
      <c r="M35" s="11">
        <f t="shared" si="25"/>
        <v>170.336</v>
      </c>
      <c r="N35" s="11">
        <f>SUM(N36:N40)</f>
        <v>208.78600000000003</v>
      </c>
      <c r="O35" s="11">
        <f>SUM(O36:O40)</f>
        <v>222.07500000000002</v>
      </c>
      <c r="P35" s="11">
        <f>SUM(P36:P40)</f>
        <v>183.992</v>
      </c>
      <c r="Q35" s="52">
        <f>SUM(Q36:Q40)</f>
        <v>108.27799999999999</v>
      </c>
      <c r="R35" s="22">
        <f>SUM(R36:R40)</f>
        <v>94.74000000000001</v>
      </c>
      <c r="T35" s="23" t="s">
        <v>31</v>
      </c>
      <c r="U35" s="91"/>
      <c r="V35" s="12">
        <v>0.8927415136577005</v>
      </c>
      <c r="W35" s="12">
        <v>1.0562201781782894</v>
      </c>
      <c r="X35" s="12">
        <v>1.537</v>
      </c>
      <c r="Y35" s="12">
        <v>1.332</v>
      </c>
      <c r="Z35" s="12">
        <v>3.784</v>
      </c>
      <c r="AA35" s="12">
        <v>2.75</v>
      </c>
      <c r="AB35" s="12">
        <v>2.759</v>
      </c>
      <c r="AC35" s="12">
        <v>3.959</v>
      </c>
      <c r="AD35" s="12">
        <v>1.735</v>
      </c>
      <c r="AE35" s="12">
        <v>1.265</v>
      </c>
      <c r="AF35" s="12">
        <v>1.577</v>
      </c>
      <c r="AG35" s="12">
        <v>4.412</v>
      </c>
      <c r="AH35" s="12">
        <v>3.252</v>
      </c>
      <c r="AI35" s="12">
        <v>30.853</v>
      </c>
      <c r="AJ35" s="65">
        <v>19.232</v>
      </c>
      <c r="AK35" s="65">
        <v>6.884</v>
      </c>
      <c r="AL35" s="29">
        <v>5.244</v>
      </c>
    </row>
    <row r="36" spans="1:38" ht="14.25" customHeight="1">
      <c r="A36" s="23" t="s">
        <v>35</v>
      </c>
      <c r="B36" s="12">
        <v>106.30368348377743</v>
      </c>
      <c r="C36" s="12">
        <v>108.52578236818691</v>
      </c>
      <c r="D36" s="13">
        <v>112.265</v>
      </c>
      <c r="E36" s="13">
        <v>109.954</v>
      </c>
      <c r="F36" s="13">
        <v>128.966</v>
      </c>
      <c r="G36" s="13">
        <v>149.642</v>
      </c>
      <c r="H36" s="13">
        <v>144.807</v>
      </c>
      <c r="I36" s="13">
        <v>132.405</v>
      </c>
      <c r="J36" s="13">
        <v>138.72</v>
      </c>
      <c r="K36" s="13">
        <v>126.652</v>
      </c>
      <c r="L36" s="13">
        <v>113.073</v>
      </c>
      <c r="M36" s="13">
        <v>121.339</v>
      </c>
      <c r="N36" s="13">
        <v>139.199</v>
      </c>
      <c r="O36" s="13">
        <v>138.626</v>
      </c>
      <c r="P36" s="13">
        <v>139.726</v>
      </c>
      <c r="Q36" s="53">
        <v>42.643</v>
      </c>
      <c r="R36" s="24">
        <v>39.141</v>
      </c>
      <c r="T36" s="23" t="s">
        <v>89</v>
      </c>
      <c r="U36" s="91"/>
      <c r="V36" s="12">
        <v>10.600212253163194</v>
      </c>
      <c r="W36" s="12">
        <v>108.73584908833735</v>
      </c>
      <c r="X36" s="12">
        <v>117.993</v>
      </c>
      <c r="Y36" s="12">
        <v>142.495</v>
      </c>
      <c r="Z36" s="12">
        <v>197.252</v>
      </c>
      <c r="AA36" s="12">
        <v>276.255</v>
      </c>
      <c r="AB36" s="12">
        <v>319.798</v>
      </c>
      <c r="AC36" s="12">
        <v>373.24</v>
      </c>
      <c r="AD36" s="12">
        <v>410.366</v>
      </c>
      <c r="AE36" s="12">
        <v>454.274</v>
      </c>
      <c r="AF36" s="12">
        <v>488.277</v>
      </c>
      <c r="AG36" s="12">
        <v>452.382</v>
      </c>
      <c r="AH36" s="12">
        <v>486.666</v>
      </c>
      <c r="AI36" s="12">
        <v>540.327</v>
      </c>
      <c r="AJ36" s="65">
        <v>562.497</v>
      </c>
      <c r="AK36" s="65">
        <v>466.538</v>
      </c>
      <c r="AL36" s="29">
        <v>468.237</v>
      </c>
    </row>
    <row r="37" spans="1:38" ht="14.25" customHeight="1">
      <c r="A37" s="23" t="s">
        <v>36</v>
      </c>
      <c r="B37" s="12">
        <v>1.2992517319151726</v>
      </c>
      <c r="C37" s="12">
        <v>3.34475329354007</v>
      </c>
      <c r="D37" s="13">
        <v>-0.287</v>
      </c>
      <c r="E37" s="13">
        <v>0.826</v>
      </c>
      <c r="F37" s="13">
        <v>0.938</v>
      </c>
      <c r="G37" s="13">
        <v>4.284</v>
      </c>
      <c r="H37" s="13">
        <v>1.72</v>
      </c>
      <c r="I37" s="13">
        <v>3.132</v>
      </c>
      <c r="J37" s="13">
        <v>6.657</v>
      </c>
      <c r="K37" s="13">
        <v>4.152</v>
      </c>
      <c r="L37" s="13">
        <v>3.988</v>
      </c>
      <c r="M37" s="13">
        <v>5.996</v>
      </c>
      <c r="N37" s="13">
        <v>13.94</v>
      </c>
      <c r="O37" s="13">
        <v>25.443</v>
      </c>
      <c r="P37" s="13">
        <v>29.931</v>
      </c>
      <c r="Q37" s="53">
        <v>30.628</v>
      </c>
      <c r="R37" s="24">
        <v>11.571</v>
      </c>
      <c r="S37" s="4"/>
      <c r="T37" s="23" t="s">
        <v>38</v>
      </c>
      <c r="U37" s="91"/>
      <c r="V37" s="12"/>
      <c r="W37" s="12">
        <v>1.3846911985576205</v>
      </c>
      <c r="X37" s="13">
        <v>0.25</v>
      </c>
      <c r="Y37" s="13">
        <v>0.982</v>
      </c>
      <c r="Z37" s="13">
        <v>1.139</v>
      </c>
      <c r="AA37" s="13">
        <v>2.312</v>
      </c>
      <c r="AB37" s="13">
        <v>4.504</v>
      </c>
      <c r="AC37" s="13">
        <v>3.671</v>
      </c>
      <c r="AD37" s="13">
        <v>5.397</v>
      </c>
      <c r="AE37" s="13">
        <v>6.388</v>
      </c>
      <c r="AF37" s="13">
        <v>5.048</v>
      </c>
      <c r="AG37" s="13">
        <v>5.457</v>
      </c>
      <c r="AH37" s="13">
        <v>13.654</v>
      </c>
      <c r="AI37" s="13">
        <v>14.128</v>
      </c>
      <c r="AJ37" s="53">
        <v>15.819</v>
      </c>
      <c r="AK37" s="53">
        <v>12.562</v>
      </c>
      <c r="AL37" s="24">
        <v>54.374</v>
      </c>
    </row>
    <row r="38" spans="1:38" ht="14.25" customHeight="1">
      <c r="A38" s="23" t="s">
        <v>50</v>
      </c>
      <c r="B38" s="12">
        <v>3.06875690621673</v>
      </c>
      <c r="C38" s="12">
        <v>5.863872056080583</v>
      </c>
      <c r="D38" s="13">
        <v>6.311</v>
      </c>
      <c r="E38" s="13">
        <v>6.644</v>
      </c>
      <c r="F38" s="13">
        <v>6.642</v>
      </c>
      <c r="G38" s="13">
        <v>6.797</v>
      </c>
      <c r="H38" s="13">
        <v>5.976</v>
      </c>
      <c r="I38" s="13">
        <v>4.937</v>
      </c>
      <c r="J38" s="13">
        <v>4.663</v>
      </c>
      <c r="K38" s="13">
        <v>5.308</v>
      </c>
      <c r="L38" s="13">
        <v>4.999</v>
      </c>
      <c r="M38" s="13">
        <v>4.067</v>
      </c>
      <c r="N38" s="13">
        <v>3.687</v>
      </c>
      <c r="O38" s="13">
        <v>3.44</v>
      </c>
      <c r="P38" s="13">
        <v>3.182</v>
      </c>
      <c r="Q38" s="53">
        <v>2.817</v>
      </c>
      <c r="R38" s="24">
        <v>2.634</v>
      </c>
      <c r="T38" s="25"/>
      <c r="U38" s="89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64"/>
      <c r="AK38" s="64"/>
      <c r="AL38" s="41"/>
    </row>
    <row r="39" spans="1:38" ht="14.25" customHeight="1">
      <c r="A39" s="23" t="s">
        <v>37</v>
      </c>
      <c r="B39" s="12">
        <v>6.608440006525692</v>
      </c>
      <c r="C39" s="12">
        <v>4.23968125024177</v>
      </c>
      <c r="D39" s="13">
        <v>3.691</v>
      </c>
      <c r="E39" s="13">
        <v>3.715</v>
      </c>
      <c r="F39" s="13">
        <v>3.808</v>
      </c>
      <c r="G39" s="13">
        <v>4.513</v>
      </c>
      <c r="H39" s="13">
        <v>6.12</v>
      </c>
      <c r="I39" s="13">
        <v>6.8</v>
      </c>
      <c r="J39" s="13">
        <v>7.324</v>
      </c>
      <c r="K39" s="13">
        <v>4.52</v>
      </c>
      <c r="L39" s="13">
        <v>11.378</v>
      </c>
      <c r="M39" s="13">
        <v>37.694</v>
      </c>
      <c r="N39" s="13">
        <v>51.437</v>
      </c>
      <c r="O39" s="13">
        <v>53.826</v>
      </c>
      <c r="P39" s="13">
        <v>10.084</v>
      </c>
      <c r="Q39" s="53">
        <v>31.616</v>
      </c>
      <c r="R39" s="24">
        <v>41.215</v>
      </c>
      <c r="T39" s="21" t="s">
        <v>33</v>
      </c>
      <c r="U39" s="88"/>
      <c r="V39" s="11">
        <f aca="true" t="shared" si="26" ref="V39:AA39">SUM(V40:V47)</f>
        <v>3587.471513169956</v>
      </c>
      <c r="W39" s="11">
        <f t="shared" si="26"/>
        <v>3865.32755439618</v>
      </c>
      <c r="X39" s="11">
        <f t="shared" si="26"/>
        <v>4280.317</v>
      </c>
      <c r="Y39" s="11">
        <f t="shared" si="26"/>
        <v>4109.151</v>
      </c>
      <c r="Z39" s="11">
        <f t="shared" si="26"/>
        <v>4279.207</v>
      </c>
      <c r="AA39" s="11">
        <f t="shared" si="26"/>
        <v>4499.090999999999</v>
      </c>
      <c r="AB39" s="11">
        <f aca="true" t="shared" si="27" ref="AB39:AG39">SUM(AB40:AB47)</f>
        <v>4903.812</v>
      </c>
      <c r="AC39" s="11">
        <f t="shared" si="27"/>
        <v>5301.03</v>
      </c>
      <c r="AD39" s="11">
        <f t="shared" si="27"/>
        <v>5629.687</v>
      </c>
      <c r="AE39" s="11">
        <f t="shared" si="27"/>
        <v>6231.918</v>
      </c>
      <c r="AF39" s="11">
        <f t="shared" si="27"/>
        <v>6426.775000000001</v>
      </c>
      <c r="AG39" s="11">
        <f t="shared" si="27"/>
        <v>6844.558999999999</v>
      </c>
      <c r="AH39" s="11">
        <f>SUM(AH40:AH47)</f>
        <v>7297.139999999999</v>
      </c>
      <c r="AI39" s="11">
        <f>SUM(AI40:AI47)</f>
        <v>8126.152</v>
      </c>
      <c r="AJ39" s="52">
        <f>SUM(AJ40:AJ47)</f>
        <v>8729.969000000001</v>
      </c>
      <c r="AK39" s="52">
        <f>SUM(AK40:AK47)</f>
        <v>8833.212</v>
      </c>
      <c r="AL39" s="22">
        <f>SUM(AL40:AL47)</f>
        <v>9220.802</v>
      </c>
    </row>
    <row r="40" spans="1:38" ht="14.25" customHeight="1">
      <c r="A40" s="23" t="s">
        <v>10</v>
      </c>
      <c r="B40" s="12">
        <v>1.0970898443084365</v>
      </c>
      <c r="C40" s="12">
        <v>1.0727025949715174</v>
      </c>
      <c r="D40" s="13">
        <v>0.657</v>
      </c>
      <c r="E40" s="13">
        <v>0.698</v>
      </c>
      <c r="F40" s="13">
        <v>5.091</v>
      </c>
      <c r="G40" s="13">
        <v>1.24</v>
      </c>
      <c r="H40" s="13">
        <v>0.547</v>
      </c>
      <c r="I40" s="13">
        <v>0.454</v>
      </c>
      <c r="J40" s="13">
        <v>0.326</v>
      </c>
      <c r="K40" s="13">
        <v>0.531</v>
      </c>
      <c r="L40" s="13">
        <v>0.14</v>
      </c>
      <c r="M40" s="13">
        <v>1.24</v>
      </c>
      <c r="N40" s="13">
        <v>0.523</v>
      </c>
      <c r="O40" s="13">
        <v>0.74</v>
      </c>
      <c r="P40" s="13">
        <v>1.069</v>
      </c>
      <c r="Q40" s="53">
        <v>0.574</v>
      </c>
      <c r="R40" s="24">
        <v>0.179</v>
      </c>
      <c r="T40" s="23" t="s">
        <v>25</v>
      </c>
      <c r="U40" s="91"/>
      <c r="V40" s="12">
        <v>87.43282994686943</v>
      </c>
      <c r="W40" s="12">
        <v>73.10355498820161</v>
      </c>
      <c r="X40" s="12">
        <v>174.959</v>
      </c>
      <c r="Y40" s="12">
        <v>37.726</v>
      </c>
      <c r="Z40" s="12">
        <v>126.305</v>
      </c>
      <c r="AA40" s="12">
        <v>34.073</v>
      </c>
      <c r="AB40" s="12">
        <v>50.347</v>
      </c>
      <c r="AC40" s="12">
        <v>142.314</v>
      </c>
      <c r="AD40" s="12">
        <v>78.196</v>
      </c>
      <c r="AE40" s="12">
        <v>121.857</v>
      </c>
      <c r="AF40" s="12">
        <v>194.355</v>
      </c>
      <c r="AG40" s="12">
        <v>293.794</v>
      </c>
      <c r="AH40" s="12">
        <v>159.704</v>
      </c>
      <c r="AI40" s="12">
        <v>316.238</v>
      </c>
      <c r="AJ40" s="65">
        <v>256.233</v>
      </c>
      <c r="AK40" s="65">
        <v>199.933</v>
      </c>
      <c r="AL40" s="29">
        <v>170.083</v>
      </c>
    </row>
    <row r="41" spans="1:38" ht="14.25" customHeight="1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54"/>
      <c r="R41" s="26"/>
      <c r="T41" s="23" t="s">
        <v>26</v>
      </c>
      <c r="U41" s="91"/>
      <c r="V41" s="12">
        <v>578.7067357582669</v>
      </c>
      <c r="W41" s="12">
        <v>722.1015754163072</v>
      </c>
      <c r="X41" s="12">
        <v>793.541</v>
      </c>
      <c r="Y41" s="12">
        <v>723.389</v>
      </c>
      <c r="Z41" s="12">
        <v>810.819</v>
      </c>
      <c r="AA41" s="12">
        <v>1081.157</v>
      </c>
      <c r="AB41" s="12">
        <v>1328.392</v>
      </c>
      <c r="AC41" s="12">
        <v>1435.003</v>
      </c>
      <c r="AD41" s="12">
        <v>1487.117</v>
      </c>
      <c r="AE41" s="12">
        <v>1656.546</v>
      </c>
      <c r="AF41" s="12">
        <v>1768.538</v>
      </c>
      <c r="AG41" s="12">
        <v>1845.683</v>
      </c>
      <c r="AH41" s="12">
        <v>2048.782</v>
      </c>
      <c r="AI41" s="12">
        <v>2469.759</v>
      </c>
      <c r="AJ41" s="65">
        <v>2868.192</v>
      </c>
      <c r="AK41" s="65">
        <v>3021.734</v>
      </c>
      <c r="AL41" s="29">
        <v>3326.856</v>
      </c>
    </row>
    <row r="42" spans="1:38" ht="14.25" customHeight="1">
      <c r="A42" s="21" t="s">
        <v>39</v>
      </c>
      <c r="B42" s="11">
        <f aca="true" t="shared" si="28" ref="B42:G42">B43+B49</f>
        <v>1499.5800347476256</v>
      </c>
      <c r="C42" s="11">
        <f t="shared" si="28"/>
        <v>1814.1541913272213</v>
      </c>
      <c r="D42" s="11">
        <f t="shared" si="28"/>
        <v>1789.7150000000001</v>
      </c>
      <c r="E42" s="11">
        <f t="shared" si="28"/>
        <v>1919.094</v>
      </c>
      <c r="F42" s="11">
        <f t="shared" si="28"/>
        <v>1752.186</v>
      </c>
      <c r="G42" s="11">
        <f t="shared" si="28"/>
        <v>1730.7529999999997</v>
      </c>
      <c r="H42" s="11">
        <f aca="true" t="shared" si="29" ref="H42:M42">H43+H49</f>
        <v>1775.7669999999998</v>
      </c>
      <c r="I42" s="11">
        <f t="shared" si="29"/>
        <v>1710.5439999999999</v>
      </c>
      <c r="J42" s="11">
        <f t="shared" si="29"/>
        <v>1836.721</v>
      </c>
      <c r="K42" s="11">
        <f t="shared" si="29"/>
        <v>1968.407</v>
      </c>
      <c r="L42" s="11">
        <f t="shared" si="29"/>
        <v>2004.185</v>
      </c>
      <c r="M42" s="11">
        <f t="shared" si="29"/>
        <v>2226.6530000000002</v>
      </c>
      <c r="N42" s="11">
        <f>N43+N49</f>
        <v>2338.689</v>
      </c>
      <c r="O42" s="11">
        <f>O43+O49</f>
        <v>2434.636</v>
      </c>
      <c r="P42" s="11">
        <f>P43+P49</f>
        <v>2435.091</v>
      </c>
      <c r="Q42" s="52">
        <f>Q43+Q49</f>
        <v>2273.678</v>
      </c>
      <c r="R42" s="22">
        <f>R43+R49</f>
        <v>2180.991</v>
      </c>
      <c r="T42" s="23" t="s">
        <v>27</v>
      </c>
      <c r="U42" s="91"/>
      <c r="V42" s="12">
        <v>103.79549693645691</v>
      </c>
      <c r="W42" s="12">
        <v>95.13852798563002</v>
      </c>
      <c r="X42" s="13">
        <v>85.486</v>
      </c>
      <c r="Y42" s="13">
        <v>92.65</v>
      </c>
      <c r="Z42" s="13">
        <v>73.435</v>
      </c>
      <c r="AA42" s="13">
        <v>74.283</v>
      </c>
      <c r="AB42" s="13">
        <v>67.896</v>
      </c>
      <c r="AC42" s="13">
        <v>73.731</v>
      </c>
      <c r="AD42" s="13">
        <v>67.439</v>
      </c>
      <c r="AE42" s="13">
        <v>132.04</v>
      </c>
      <c r="AF42" s="13">
        <v>95.019</v>
      </c>
      <c r="AG42" s="13">
        <v>82.746</v>
      </c>
      <c r="AH42" s="13">
        <v>84.061</v>
      </c>
      <c r="AI42" s="13">
        <v>78.358</v>
      </c>
      <c r="AJ42" s="53">
        <v>75.075</v>
      </c>
      <c r="AK42" s="53">
        <v>67.064</v>
      </c>
      <c r="AL42" s="24">
        <v>62.033</v>
      </c>
    </row>
    <row r="43" spans="1:38" ht="14.25" customHeight="1">
      <c r="A43" s="21" t="s">
        <v>62</v>
      </c>
      <c r="B43" s="14"/>
      <c r="C43" s="14">
        <f aca="true" t="shared" si="30" ref="C43:H43">SUM(C44:C47)</f>
        <v>423.4531335933519</v>
      </c>
      <c r="D43" s="14">
        <f t="shared" si="30"/>
        <v>358.17199999999997</v>
      </c>
      <c r="E43" s="14">
        <f t="shared" si="30"/>
        <v>269.959</v>
      </c>
      <c r="F43" s="14">
        <f t="shared" si="30"/>
        <v>306.464</v>
      </c>
      <c r="G43" s="14">
        <f t="shared" si="30"/>
        <v>269.82099999999997</v>
      </c>
      <c r="H43" s="14">
        <f t="shared" si="30"/>
        <v>260.58000000000004</v>
      </c>
      <c r="I43" s="14">
        <f aca="true" t="shared" si="31" ref="I43:N43">SUM(I44:I47)</f>
        <v>241.97199999999998</v>
      </c>
      <c r="J43" s="14">
        <f t="shared" si="31"/>
        <v>310.339</v>
      </c>
      <c r="K43" s="14">
        <f t="shared" si="31"/>
        <v>326.41900000000004</v>
      </c>
      <c r="L43" s="14">
        <f t="shared" si="31"/>
        <v>361.296</v>
      </c>
      <c r="M43" s="14">
        <f t="shared" si="31"/>
        <v>417.798</v>
      </c>
      <c r="N43" s="14">
        <f t="shared" si="31"/>
        <v>410.759</v>
      </c>
      <c r="O43" s="14">
        <f>SUM(O44:O47)</f>
        <v>350.95</v>
      </c>
      <c r="P43" s="14">
        <f>SUM(P44:P47)</f>
        <v>398.66900000000004</v>
      </c>
      <c r="Q43" s="54">
        <f>SUM(Q44:Q47)</f>
        <v>392.552</v>
      </c>
      <c r="R43" s="26">
        <f>SUM(R44:R47)</f>
        <v>390.42400000000004</v>
      </c>
      <c r="T43" s="23" t="s">
        <v>28</v>
      </c>
      <c r="U43" s="91"/>
      <c r="V43" s="12">
        <v>49.93499536642262</v>
      </c>
      <c r="W43" s="12">
        <v>76.13396504718513</v>
      </c>
      <c r="X43" s="13">
        <v>103.725</v>
      </c>
      <c r="Y43" s="13">
        <v>117.276</v>
      </c>
      <c r="Z43" s="13">
        <v>172.475</v>
      </c>
      <c r="AA43" s="13">
        <v>130.134</v>
      </c>
      <c r="AB43" s="13">
        <v>236.913</v>
      </c>
      <c r="AC43" s="13">
        <v>323.311</v>
      </c>
      <c r="AD43" s="13">
        <v>380.481</v>
      </c>
      <c r="AE43" s="13">
        <v>372.796</v>
      </c>
      <c r="AF43" s="13">
        <v>367.413</v>
      </c>
      <c r="AG43" s="13">
        <v>454.506</v>
      </c>
      <c r="AH43" s="13">
        <v>450.106</v>
      </c>
      <c r="AI43" s="13">
        <v>528.675</v>
      </c>
      <c r="AJ43" s="53">
        <v>705.079</v>
      </c>
      <c r="AK43" s="53">
        <v>765.254</v>
      </c>
      <c r="AL43" s="24">
        <v>948.138</v>
      </c>
    </row>
    <row r="44" spans="1:38" ht="14.25" customHeight="1">
      <c r="A44" s="23" t="s">
        <v>63</v>
      </c>
      <c r="B44" s="12"/>
      <c r="C44" s="12">
        <v>86.39410131304315</v>
      </c>
      <c r="D44" s="13">
        <v>77.715</v>
      </c>
      <c r="E44" s="13">
        <v>75.735</v>
      </c>
      <c r="F44" s="13">
        <v>91.847</v>
      </c>
      <c r="G44" s="13">
        <v>68.687</v>
      </c>
      <c r="H44" s="13">
        <v>63.4</v>
      </c>
      <c r="I44" s="13">
        <v>55.266</v>
      </c>
      <c r="J44" s="13">
        <v>57.829</v>
      </c>
      <c r="K44" s="13">
        <v>48.579</v>
      </c>
      <c r="L44" s="13">
        <v>51.907</v>
      </c>
      <c r="M44" s="13">
        <v>52.272</v>
      </c>
      <c r="N44" s="13">
        <v>44.965</v>
      </c>
      <c r="O44" s="13">
        <v>40.022</v>
      </c>
      <c r="P44" s="13">
        <v>35.478</v>
      </c>
      <c r="Q44" s="53">
        <v>33.184</v>
      </c>
      <c r="R44" s="24">
        <v>32.295</v>
      </c>
      <c r="T44" s="23" t="s">
        <v>29</v>
      </c>
      <c r="U44" s="91"/>
      <c r="V44" s="12">
        <v>68.78465722459647</v>
      </c>
      <c r="W44" s="12">
        <v>35.29692737477148</v>
      </c>
      <c r="X44" s="13">
        <v>36.942</v>
      </c>
      <c r="Y44" s="13">
        <v>50.233</v>
      </c>
      <c r="Z44" s="13">
        <v>45.201</v>
      </c>
      <c r="AA44" s="13">
        <v>36.244</v>
      </c>
      <c r="AB44" s="13">
        <v>39.348</v>
      </c>
      <c r="AC44" s="13">
        <v>59.815</v>
      </c>
      <c r="AD44" s="13">
        <v>75.639</v>
      </c>
      <c r="AE44" s="13">
        <v>119.21</v>
      </c>
      <c r="AF44" s="13">
        <v>147.877</v>
      </c>
      <c r="AG44" s="13">
        <v>178.01</v>
      </c>
      <c r="AH44" s="13">
        <v>237.671</v>
      </c>
      <c r="AI44" s="13">
        <v>248.793</v>
      </c>
      <c r="AJ44" s="53">
        <v>250.256</v>
      </c>
      <c r="AK44" s="53">
        <v>223.865</v>
      </c>
      <c r="AL44" s="24">
        <v>203.056</v>
      </c>
    </row>
    <row r="45" spans="1:38" ht="14.25" customHeight="1">
      <c r="A45" s="23" t="s">
        <v>64</v>
      </c>
      <c r="B45" s="12"/>
      <c r="C45" s="12">
        <v>170.94940402608256</v>
      </c>
      <c r="D45" s="13">
        <v>156.873</v>
      </c>
      <c r="E45" s="13">
        <v>83.339</v>
      </c>
      <c r="F45" s="13">
        <v>98.564</v>
      </c>
      <c r="G45" s="13">
        <v>76.38</v>
      </c>
      <c r="H45" s="13">
        <v>76.132</v>
      </c>
      <c r="I45" s="13">
        <v>71.435</v>
      </c>
      <c r="J45" s="13">
        <v>141.061</v>
      </c>
      <c r="K45" s="13">
        <v>157.847</v>
      </c>
      <c r="L45" s="13">
        <v>171.11</v>
      </c>
      <c r="M45" s="13">
        <v>178.011</v>
      </c>
      <c r="N45" s="13">
        <v>175.998</v>
      </c>
      <c r="O45" s="13">
        <v>144.853</v>
      </c>
      <c r="P45" s="13">
        <v>209.083</v>
      </c>
      <c r="Q45" s="53">
        <v>199.958</v>
      </c>
      <c r="R45" s="24">
        <v>196.243</v>
      </c>
      <c r="T45" s="23" t="s">
        <v>31</v>
      </c>
      <c r="U45" s="91"/>
      <c r="V45" s="12">
        <v>918.0771747119361</v>
      </c>
      <c r="W45" s="12">
        <v>956.0286121300495</v>
      </c>
      <c r="X45" s="13">
        <v>1002.875</v>
      </c>
      <c r="Y45" s="13">
        <v>975.156</v>
      </c>
      <c r="Z45" s="13">
        <v>1021.048</v>
      </c>
      <c r="AA45" s="13">
        <v>1044.071</v>
      </c>
      <c r="AB45" s="13">
        <v>1162.258</v>
      </c>
      <c r="AC45" s="13">
        <v>1229.809</v>
      </c>
      <c r="AD45" s="13">
        <v>1319.684</v>
      </c>
      <c r="AE45" s="13">
        <v>1429.096</v>
      </c>
      <c r="AF45" s="13">
        <v>1409.25</v>
      </c>
      <c r="AG45" s="13">
        <v>1519.764</v>
      </c>
      <c r="AH45" s="13">
        <v>1626.801</v>
      </c>
      <c r="AI45" s="13">
        <v>1627.768</v>
      </c>
      <c r="AJ45" s="53">
        <v>1642.849</v>
      </c>
      <c r="AK45" s="53">
        <v>1561.794</v>
      </c>
      <c r="AL45" s="24">
        <v>1561.152</v>
      </c>
    </row>
    <row r="46" spans="1:38" ht="14.25" customHeight="1">
      <c r="A46" s="23" t="s">
        <v>65</v>
      </c>
      <c r="B46" s="12"/>
      <c r="C46" s="12">
        <v>144.93190911797205</v>
      </c>
      <c r="D46" s="13">
        <v>109.451</v>
      </c>
      <c r="E46" s="13">
        <v>97.897</v>
      </c>
      <c r="F46" s="13">
        <v>94.891</v>
      </c>
      <c r="G46" s="13">
        <v>107.198</v>
      </c>
      <c r="H46" s="13">
        <v>101.811</v>
      </c>
      <c r="I46" s="13">
        <v>99.134</v>
      </c>
      <c r="J46" s="13">
        <v>100.846</v>
      </c>
      <c r="K46" s="13">
        <v>108.441</v>
      </c>
      <c r="L46" s="13">
        <v>131.824</v>
      </c>
      <c r="M46" s="13">
        <v>182.42</v>
      </c>
      <c r="N46" s="13">
        <v>167.573</v>
      </c>
      <c r="O46" s="13">
        <v>142.106</v>
      </c>
      <c r="P46" s="13">
        <v>114.048</v>
      </c>
      <c r="Q46" s="53">
        <v>131.102</v>
      </c>
      <c r="R46" s="24">
        <v>97.638</v>
      </c>
      <c r="T46" s="23" t="s">
        <v>89</v>
      </c>
      <c r="U46" s="91"/>
      <c r="V46" s="12">
        <v>266.3857928294759</v>
      </c>
      <c r="W46" s="12">
        <v>465.58942299768063</v>
      </c>
      <c r="X46" s="12">
        <v>497.386</v>
      </c>
      <c r="Y46" s="12">
        <v>488.226</v>
      </c>
      <c r="Z46" s="12">
        <v>505.705</v>
      </c>
      <c r="AA46" s="12">
        <v>541.697</v>
      </c>
      <c r="AB46" s="12">
        <v>421.557</v>
      </c>
      <c r="AC46" s="12">
        <v>397.856</v>
      </c>
      <c r="AD46" s="12">
        <v>441.022</v>
      </c>
      <c r="AE46" s="12">
        <v>450.012</v>
      </c>
      <c r="AF46" s="12">
        <v>445.502</v>
      </c>
      <c r="AG46" s="12">
        <v>488.78</v>
      </c>
      <c r="AH46" s="12">
        <v>476.799</v>
      </c>
      <c r="AI46" s="12">
        <v>482.369</v>
      </c>
      <c r="AJ46" s="65">
        <v>490.232</v>
      </c>
      <c r="AK46" s="65">
        <v>533.765</v>
      </c>
      <c r="AL46" s="29">
        <v>547.114</v>
      </c>
    </row>
    <row r="47" spans="1:38" ht="14.25" customHeight="1">
      <c r="A47" s="23" t="s">
        <v>66</v>
      </c>
      <c r="B47" s="12"/>
      <c r="C47" s="12">
        <v>21.177719136254083</v>
      </c>
      <c r="D47" s="13">
        <v>14.133</v>
      </c>
      <c r="E47" s="13">
        <v>12.988</v>
      </c>
      <c r="F47" s="13">
        <v>21.162</v>
      </c>
      <c r="G47" s="13">
        <v>17.556</v>
      </c>
      <c r="H47" s="13">
        <v>19.237</v>
      </c>
      <c r="I47" s="13">
        <v>16.137</v>
      </c>
      <c r="J47" s="13">
        <v>10.603</v>
      </c>
      <c r="K47" s="13">
        <v>11.552</v>
      </c>
      <c r="L47" s="13">
        <v>6.455</v>
      </c>
      <c r="M47" s="13">
        <v>5.095</v>
      </c>
      <c r="N47" s="13">
        <v>22.223</v>
      </c>
      <c r="O47" s="13">
        <v>23.969</v>
      </c>
      <c r="P47" s="13">
        <v>40.06</v>
      </c>
      <c r="Q47" s="53">
        <v>28.308</v>
      </c>
      <c r="R47" s="24">
        <v>64.248</v>
      </c>
      <c r="T47" s="23" t="s">
        <v>38</v>
      </c>
      <c r="U47" s="91"/>
      <c r="V47" s="12">
        <v>1514.3538303959313</v>
      </c>
      <c r="W47" s="12">
        <v>1441.9349684563542</v>
      </c>
      <c r="X47" s="12">
        <v>1585.403</v>
      </c>
      <c r="Y47" s="12">
        <v>1624.495</v>
      </c>
      <c r="Z47" s="12">
        <v>1524.219</v>
      </c>
      <c r="AA47" s="12">
        <v>1557.432</v>
      </c>
      <c r="AB47" s="12">
        <v>1597.101</v>
      </c>
      <c r="AC47" s="12">
        <v>1639.191</v>
      </c>
      <c r="AD47" s="12">
        <v>1780.109</v>
      </c>
      <c r="AE47" s="12">
        <v>1950.361</v>
      </c>
      <c r="AF47" s="12">
        <v>1998.821</v>
      </c>
      <c r="AG47" s="12">
        <v>1981.276</v>
      </c>
      <c r="AH47" s="12">
        <v>2213.216</v>
      </c>
      <c r="AI47" s="12">
        <v>2374.192</v>
      </c>
      <c r="AJ47" s="65">
        <v>2442.053</v>
      </c>
      <c r="AK47" s="65">
        <v>2459.803</v>
      </c>
      <c r="AL47" s="29">
        <v>2402.37</v>
      </c>
    </row>
    <row r="48" spans="1:38" ht="14.25" customHeight="1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54"/>
      <c r="R48" s="26"/>
      <c r="S48" s="5"/>
      <c r="T48" s="25"/>
      <c r="U48" s="89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64"/>
      <c r="AK48" s="64"/>
      <c r="AL48" s="41"/>
    </row>
    <row r="49" spans="1:38" ht="14.25" customHeight="1">
      <c r="A49" s="21" t="s">
        <v>67</v>
      </c>
      <c r="B49" s="11">
        <f aca="true" t="shared" si="32" ref="B49:G49">SUM(B50:B53)</f>
        <v>1499.5800347476256</v>
      </c>
      <c r="C49" s="11">
        <f t="shared" si="32"/>
        <v>1390.7010577338694</v>
      </c>
      <c r="D49" s="11">
        <f t="shared" si="32"/>
        <v>1431.5430000000001</v>
      </c>
      <c r="E49" s="11">
        <f t="shared" si="32"/>
        <v>1649.135</v>
      </c>
      <c r="F49" s="11">
        <f t="shared" si="32"/>
        <v>1445.722</v>
      </c>
      <c r="G49" s="11">
        <f t="shared" si="32"/>
        <v>1460.9319999999998</v>
      </c>
      <c r="H49" s="11">
        <f aca="true" t="shared" si="33" ref="H49:M49">SUM(H50:H53)</f>
        <v>1515.187</v>
      </c>
      <c r="I49" s="11">
        <f t="shared" si="33"/>
        <v>1468.572</v>
      </c>
      <c r="J49" s="11">
        <f t="shared" si="33"/>
        <v>1526.382</v>
      </c>
      <c r="K49" s="11">
        <f t="shared" si="33"/>
        <v>1641.9879999999998</v>
      </c>
      <c r="L49" s="11">
        <f t="shared" si="33"/>
        <v>1642.889</v>
      </c>
      <c r="M49" s="11">
        <f t="shared" si="33"/>
        <v>1808.855</v>
      </c>
      <c r="N49" s="11">
        <f>SUM(N50:N53)</f>
        <v>1927.9299999999998</v>
      </c>
      <c r="O49" s="11">
        <f>SUM(O50:O53)</f>
        <v>2083.686</v>
      </c>
      <c r="P49" s="11">
        <f>SUM(P50:P53)</f>
        <v>2036.422</v>
      </c>
      <c r="Q49" s="52">
        <f>SUM(Q50:Q53)</f>
        <v>1881.126</v>
      </c>
      <c r="R49" s="22">
        <f>SUM(R50:R53)</f>
        <v>1790.567</v>
      </c>
      <c r="T49" s="19" t="s">
        <v>40</v>
      </c>
      <c r="U49" s="87"/>
      <c r="V49" s="10">
        <f aca="true" t="shared" si="34" ref="V49:AA49">V7+V15+V19+V23+V28</f>
        <v>32811.42618316001</v>
      </c>
      <c r="W49" s="10">
        <f t="shared" si="34"/>
        <v>34106.61466295981</v>
      </c>
      <c r="X49" s="10">
        <f t="shared" si="34"/>
        <v>34756.449</v>
      </c>
      <c r="Y49" s="10">
        <f t="shared" si="34"/>
        <v>36197.253</v>
      </c>
      <c r="Z49" s="10">
        <f t="shared" si="34"/>
        <v>36923.417</v>
      </c>
      <c r="AA49" s="10">
        <f t="shared" si="34"/>
        <v>37772.412</v>
      </c>
      <c r="AB49" s="10">
        <f aca="true" t="shared" si="35" ref="AB49:AG49">AB7+AB15+AB19+AB23+AB28</f>
        <v>38630.719</v>
      </c>
      <c r="AC49" s="10">
        <f t="shared" si="35"/>
        <v>40300.422999999995</v>
      </c>
      <c r="AD49" s="10">
        <f t="shared" si="35"/>
        <v>41784.545</v>
      </c>
      <c r="AE49" s="10">
        <f t="shared" si="35"/>
        <v>43203.721</v>
      </c>
      <c r="AF49" s="10">
        <f t="shared" si="35"/>
        <v>44725.710999999996</v>
      </c>
      <c r="AG49" s="10">
        <f t="shared" si="35"/>
        <v>47347.063</v>
      </c>
      <c r="AH49" s="10">
        <f>AH7+AH15+AH19+AH23+AH28</f>
        <v>48605.732</v>
      </c>
      <c r="AI49" s="10">
        <f>AI7+AI15+AI19+AI23+AI28</f>
        <v>49812.793</v>
      </c>
      <c r="AJ49" s="51">
        <f>AJ7+AJ15+AJ19+AJ23+AJ28</f>
        <v>51515.179000000004</v>
      </c>
      <c r="AK49" s="51">
        <f>AK7+AK15+AK19+AK23+AK28</f>
        <v>54181.61899999999</v>
      </c>
      <c r="AL49" s="20">
        <f>AL7+AL15+AL19+AL23+AL28</f>
        <v>55085.391</v>
      </c>
    </row>
    <row r="50" spans="1:38" ht="14.25" customHeight="1">
      <c r="A50" s="23" t="s">
        <v>63</v>
      </c>
      <c r="B50" s="12">
        <v>539.5798329221138</v>
      </c>
      <c r="C50" s="12">
        <v>519.019868039753</v>
      </c>
      <c r="D50" s="13">
        <v>508.858</v>
      </c>
      <c r="E50" s="13">
        <v>582.061</v>
      </c>
      <c r="F50" s="13">
        <v>617.534</v>
      </c>
      <c r="G50" s="13">
        <v>614.484</v>
      </c>
      <c r="H50" s="13">
        <v>651.782</v>
      </c>
      <c r="I50" s="13">
        <v>630.552</v>
      </c>
      <c r="J50" s="13">
        <v>663.537</v>
      </c>
      <c r="K50" s="13">
        <v>745.327</v>
      </c>
      <c r="L50" s="13">
        <v>702.834</v>
      </c>
      <c r="M50" s="13">
        <v>770.389</v>
      </c>
      <c r="N50" s="13">
        <v>880.048</v>
      </c>
      <c r="O50" s="13">
        <v>898.857</v>
      </c>
      <c r="P50" s="13">
        <v>831.55</v>
      </c>
      <c r="Q50" s="53">
        <v>663.41</v>
      </c>
      <c r="R50" s="24">
        <v>681.704</v>
      </c>
      <c r="T50" s="25"/>
      <c r="U50" s="89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64"/>
      <c r="AK50" s="64"/>
      <c r="AL50" s="41"/>
    </row>
    <row r="51" spans="1:38" ht="14.25" customHeight="1">
      <c r="A51" s="23" t="s">
        <v>64</v>
      </c>
      <c r="B51" s="12">
        <v>249.4884564216673</v>
      </c>
      <c r="C51" s="12">
        <v>87.87449144175736</v>
      </c>
      <c r="D51" s="13">
        <v>76.022</v>
      </c>
      <c r="E51" s="13">
        <v>63.549</v>
      </c>
      <c r="F51" s="13">
        <v>32.572</v>
      </c>
      <c r="G51" s="13">
        <v>51.406</v>
      </c>
      <c r="H51" s="13">
        <v>42.563</v>
      </c>
      <c r="I51" s="13">
        <v>48.226</v>
      </c>
      <c r="J51" s="13">
        <v>50.845</v>
      </c>
      <c r="K51" s="13">
        <v>69.395</v>
      </c>
      <c r="L51" s="13">
        <v>93.492</v>
      </c>
      <c r="M51" s="13">
        <v>102.928</v>
      </c>
      <c r="N51" s="13">
        <v>142.934</v>
      </c>
      <c r="O51" s="13">
        <v>244.165</v>
      </c>
      <c r="P51" s="13">
        <v>240.367</v>
      </c>
      <c r="Q51" s="53">
        <v>198.876</v>
      </c>
      <c r="R51" s="24">
        <v>211.577</v>
      </c>
      <c r="T51" s="25"/>
      <c r="U51" s="25" t="s">
        <v>82</v>
      </c>
      <c r="V51" s="14"/>
      <c r="W51" s="14"/>
      <c r="X51" s="14">
        <v>2440.147</v>
      </c>
      <c r="Y51" s="14">
        <v>3025.074</v>
      </c>
      <c r="Z51" s="14">
        <v>3392.36</v>
      </c>
      <c r="AA51" s="14">
        <v>3635.124</v>
      </c>
      <c r="AB51" s="14">
        <v>3977.644</v>
      </c>
      <c r="AC51" s="14">
        <v>4065.249</v>
      </c>
      <c r="AD51" s="14">
        <v>4289.758</v>
      </c>
      <c r="AE51" s="14"/>
      <c r="AF51" s="14"/>
      <c r="AG51" s="14"/>
      <c r="AH51" s="14"/>
      <c r="AI51" s="14"/>
      <c r="AJ51" s="54"/>
      <c r="AK51" s="54"/>
      <c r="AL51" s="26"/>
    </row>
    <row r="52" spans="1:38" ht="14.25" customHeight="1">
      <c r="A52" s="23" t="s">
        <v>65</v>
      </c>
      <c r="B52" s="12">
        <v>131.16673646465614</v>
      </c>
      <c r="C52" s="12">
        <v>364.94475867555366</v>
      </c>
      <c r="D52" s="13">
        <v>343.338</v>
      </c>
      <c r="E52" s="13">
        <v>491.283</v>
      </c>
      <c r="F52" s="13">
        <v>420.205</v>
      </c>
      <c r="G52" s="13">
        <v>420.113</v>
      </c>
      <c r="H52" s="13">
        <v>434.84</v>
      </c>
      <c r="I52" s="13">
        <v>403.329</v>
      </c>
      <c r="J52" s="13">
        <v>425.645</v>
      </c>
      <c r="K52" s="13">
        <v>429.108</v>
      </c>
      <c r="L52" s="13">
        <v>457.632</v>
      </c>
      <c r="M52" s="13">
        <v>488.114</v>
      </c>
      <c r="N52" s="13">
        <v>465.577</v>
      </c>
      <c r="O52" s="13">
        <v>457.133</v>
      </c>
      <c r="P52" s="13">
        <v>411.862</v>
      </c>
      <c r="Q52" s="53">
        <v>380.726</v>
      </c>
      <c r="R52" s="24">
        <v>415.702</v>
      </c>
      <c r="T52" s="25"/>
      <c r="U52" s="25" t="s">
        <v>80</v>
      </c>
      <c r="V52" s="38"/>
      <c r="W52" s="38"/>
      <c r="X52" s="38"/>
      <c r="Y52" s="14">
        <v>1621.7730000000001</v>
      </c>
      <c r="Z52" s="14">
        <v>1935.3880000000001</v>
      </c>
      <c r="AA52" s="14">
        <v>2285.224</v>
      </c>
      <c r="AB52" s="14">
        <v>2040.26</v>
      </c>
      <c r="AC52" s="14">
        <v>2468.146</v>
      </c>
      <c r="AD52" s="14">
        <v>6235.374</v>
      </c>
      <c r="AE52" s="14"/>
      <c r="AF52" s="14"/>
      <c r="AG52" s="14"/>
      <c r="AH52" s="14"/>
      <c r="AI52" s="14"/>
      <c r="AJ52" s="54"/>
      <c r="AK52" s="54"/>
      <c r="AL52" s="26"/>
    </row>
    <row r="53" spans="1:38" ht="14.25" customHeight="1">
      <c r="A53" s="23" t="s">
        <v>66</v>
      </c>
      <c r="B53" s="12">
        <v>579.3450089391882</v>
      </c>
      <c r="C53" s="12">
        <v>418.8619395768055</v>
      </c>
      <c r="D53" s="13">
        <v>503.325</v>
      </c>
      <c r="E53" s="13">
        <v>512.242</v>
      </c>
      <c r="F53" s="13">
        <v>375.411</v>
      </c>
      <c r="G53" s="13">
        <v>374.929</v>
      </c>
      <c r="H53" s="13">
        <v>386.002</v>
      </c>
      <c r="I53" s="13">
        <v>386.465</v>
      </c>
      <c r="J53" s="13">
        <v>386.355</v>
      </c>
      <c r="K53" s="13">
        <v>398.158</v>
      </c>
      <c r="L53" s="13">
        <v>388.931</v>
      </c>
      <c r="M53" s="13">
        <v>447.424</v>
      </c>
      <c r="N53" s="13">
        <v>439.371</v>
      </c>
      <c r="O53" s="13">
        <v>483.531</v>
      </c>
      <c r="P53" s="13">
        <v>552.643</v>
      </c>
      <c r="Q53" s="53">
        <v>638.114</v>
      </c>
      <c r="R53" s="24">
        <v>481.584</v>
      </c>
      <c r="T53" s="30"/>
      <c r="U53" s="30" t="s">
        <v>81</v>
      </c>
      <c r="V53" s="16">
        <f>20788.374/5.94573</f>
        <v>3496.353517566388</v>
      </c>
      <c r="W53" s="16">
        <f>20277.673/5.94573</f>
        <v>3410.4597753345674</v>
      </c>
      <c r="X53" s="16" t="e">
        <f>#REF!+X51+#REF!+#REF!</f>
        <v>#REF!</v>
      </c>
      <c r="Y53" s="16">
        <f aca="true" t="shared" si="36" ref="Y53:AD53">Y51+Y52</f>
        <v>4646.847</v>
      </c>
      <c r="Z53" s="16">
        <f t="shared" si="36"/>
        <v>5327.7480000000005</v>
      </c>
      <c r="AA53" s="16">
        <f t="shared" si="36"/>
        <v>5920.348</v>
      </c>
      <c r="AB53" s="16">
        <f t="shared" si="36"/>
        <v>6017.9039999999995</v>
      </c>
      <c r="AC53" s="16">
        <f t="shared" si="36"/>
        <v>6533.395</v>
      </c>
      <c r="AD53" s="16">
        <f t="shared" si="36"/>
        <v>10525.132</v>
      </c>
      <c r="AE53" s="14"/>
      <c r="AF53" s="14"/>
      <c r="AG53" s="14"/>
      <c r="AH53" s="14"/>
      <c r="AI53" s="14"/>
      <c r="AJ53" s="54"/>
      <c r="AK53" s="54"/>
      <c r="AL53" s="26"/>
    </row>
    <row r="54" spans="1:38" ht="14.25" customHeight="1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4"/>
      <c r="R54" s="26"/>
      <c r="T54" s="25"/>
      <c r="U54" s="89"/>
      <c r="V54" s="38"/>
      <c r="W54" s="38"/>
      <c r="X54" s="38"/>
      <c r="Y54" s="38"/>
      <c r="Z54" s="38"/>
      <c r="AA54" s="38"/>
      <c r="AB54" s="38"/>
      <c r="AC54" s="38"/>
      <c r="AD54" s="38"/>
      <c r="AE54" s="14"/>
      <c r="AF54" s="14"/>
      <c r="AG54" s="14"/>
      <c r="AH54" s="14"/>
      <c r="AI54" s="14"/>
      <c r="AJ54" s="54"/>
      <c r="AK54" s="54"/>
      <c r="AL54" s="26"/>
    </row>
    <row r="55" spans="1:38" ht="14.25" customHeight="1">
      <c r="A55" s="21" t="s">
        <v>100</v>
      </c>
      <c r="B55" s="14">
        <f aca="true" t="shared" si="37" ref="B55:G55">SUM(B56:B59)</f>
        <v>1509.912491821862</v>
      </c>
      <c r="C55" s="14">
        <f t="shared" si="37"/>
        <v>1970.9391445625683</v>
      </c>
      <c r="D55" s="14">
        <f t="shared" si="37"/>
        <v>1997.203</v>
      </c>
      <c r="E55" s="14">
        <f t="shared" si="37"/>
        <v>1841.9299999999998</v>
      </c>
      <c r="F55" s="14">
        <f t="shared" si="37"/>
        <v>1920.904</v>
      </c>
      <c r="G55" s="14">
        <f t="shared" si="37"/>
        <v>1905.379</v>
      </c>
      <c r="H55" s="14">
        <f aca="true" t="shared" si="38" ref="H55:M55">SUM(H56:H59)</f>
        <v>1819.2469999999998</v>
      </c>
      <c r="I55" s="14">
        <f t="shared" si="38"/>
        <v>2634.826</v>
      </c>
      <c r="J55" s="14">
        <f t="shared" si="38"/>
        <v>2615.016</v>
      </c>
      <c r="K55" s="14">
        <f t="shared" si="38"/>
        <v>2222.916</v>
      </c>
      <c r="L55" s="14">
        <f t="shared" si="38"/>
        <v>2252.133</v>
      </c>
      <c r="M55" s="14">
        <f t="shared" si="38"/>
        <v>2273.573</v>
      </c>
      <c r="N55" s="14">
        <f>SUM(N56:N59)</f>
        <v>2234.0519999999997</v>
      </c>
      <c r="O55" s="14">
        <f>SUM(O56:O59)</f>
        <v>1925.321</v>
      </c>
      <c r="P55" s="14">
        <f>SUM(P56:P59)</f>
        <v>1935.345</v>
      </c>
      <c r="Q55" s="54">
        <f>SUM(Q56:Q59)</f>
        <v>2289.252</v>
      </c>
      <c r="R55" s="26">
        <f>SUM(R56:R59)</f>
        <v>2040.8360000000002</v>
      </c>
      <c r="T55" s="25" t="s">
        <v>91</v>
      </c>
      <c r="U55" s="89"/>
      <c r="V55" s="38"/>
      <c r="W55" s="38"/>
      <c r="X55" s="38"/>
      <c r="Y55" s="38"/>
      <c r="Z55" s="38"/>
      <c r="AA55" s="38"/>
      <c r="AB55" s="38"/>
      <c r="AC55" s="38"/>
      <c r="AD55" s="38"/>
      <c r="AE55" s="14">
        <v>4581.099</v>
      </c>
      <c r="AF55" s="14">
        <v>5182.247</v>
      </c>
      <c r="AG55" s="14">
        <v>5570.455</v>
      </c>
      <c r="AH55" s="14">
        <v>5945.401</v>
      </c>
      <c r="AI55" s="14">
        <v>6417.843</v>
      </c>
      <c r="AJ55" s="54">
        <v>7228.172</v>
      </c>
      <c r="AK55" s="54">
        <v>7446.013</v>
      </c>
      <c r="AL55" s="26">
        <v>7801.749</v>
      </c>
    </row>
    <row r="56" spans="1:38" ht="14.25" customHeight="1">
      <c r="A56" s="23" t="s">
        <v>21</v>
      </c>
      <c r="B56" s="12">
        <v>72.6570160434463</v>
      </c>
      <c r="C56" s="12">
        <v>146.49235669968195</v>
      </c>
      <c r="D56" s="13">
        <v>154.241</v>
      </c>
      <c r="E56" s="13">
        <v>147.485</v>
      </c>
      <c r="F56" s="13">
        <v>154.386</v>
      </c>
      <c r="G56" s="13">
        <v>161.119</v>
      </c>
      <c r="H56" s="13">
        <v>195</v>
      </c>
      <c r="I56" s="13">
        <v>248.591</v>
      </c>
      <c r="J56" s="13">
        <v>287.711</v>
      </c>
      <c r="K56" s="13">
        <v>189.277</v>
      </c>
      <c r="L56" s="13">
        <v>215.677</v>
      </c>
      <c r="M56" s="13">
        <v>210.552</v>
      </c>
      <c r="N56" s="13">
        <v>190.562</v>
      </c>
      <c r="O56" s="13">
        <v>199.406</v>
      </c>
      <c r="P56" s="13">
        <v>208.11</v>
      </c>
      <c r="Q56" s="53">
        <v>253.219</v>
      </c>
      <c r="R56" s="24">
        <v>226.453</v>
      </c>
      <c r="T56" s="25" t="s">
        <v>92</v>
      </c>
      <c r="U56" s="89"/>
      <c r="V56" s="38"/>
      <c r="W56" s="38"/>
      <c r="X56" s="38"/>
      <c r="Y56" s="38"/>
      <c r="Z56" s="38"/>
      <c r="AA56" s="38"/>
      <c r="AB56" s="38"/>
      <c r="AC56" s="38"/>
      <c r="AD56" s="38"/>
      <c r="AE56" s="14">
        <v>909.343</v>
      </c>
      <c r="AF56" s="14">
        <v>913.861</v>
      </c>
      <c r="AG56" s="14">
        <v>988.141</v>
      </c>
      <c r="AH56" s="14">
        <v>950.146</v>
      </c>
      <c r="AI56" s="14">
        <v>947.534</v>
      </c>
      <c r="AJ56" s="54">
        <v>947.769</v>
      </c>
      <c r="AK56" s="54">
        <v>1122.914</v>
      </c>
      <c r="AL56" s="26">
        <v>1172.772</v>
      </c>
    </row>
    <row r="57" spans="1:38" ht="14.25" customHeight="1">
      <c r="A57" s="23" t="s">
        <v>78</v>
      </c>
      <c r="B57" s="12">
        <v>961.5534173263837</v>
      </c>
      <c r="C57" s="12">
        <v>1015.5923662863937</v>
      </c>
      <c r="D57" s="13">
        <v>1056.429</v>
      </c>
      <c r="E57" s="13">
        <v>1057.099</v>
      </c>
      <c r="F57" s="13">
        <v>1178.629</v>
      </c>
      <c r="G57" s="13">
        <v>1151.193</v>
      </c>
      <c r="H57" s="13">
        <v>1073.794</v>
      </c>
      <c r="I57" s="13">
        <v>1280.644</v>
      </c>
      <c r="J57" s="13">
        <v>1204.374</v>
      </c>
      <c r="K57" s="13">
        <v>891.679</v>
      </c>
      <c r="L57" s="13">
        <v>1016.398</v>
      </c>
      <c r="M57" s="13">
        <v>1055.85</v>
      </c>
      <c r="N57" s="13">
        <v>1065.723</v>
      </c>
      <c r="O57" s="13">
        <v>773.569</v>
      </c>
      <c r="P57" s="13">
        <v>585.953</v>
      </c>
      <c r="Q57" s="53">
        <v>853.789</v>
      </c>
      <c r="R57" s="24">
        <v>657.373</v>
      </c>
      <c r="T57" s="30" t="s">
        <v>93</v>
      </c>
      <c r="U57" s="90"/>
      <c r="V57" s="38"/>
      <c r="W57" s="38"/>
      <c r="X57" s="38"/>
      <c r="Y57" s="38"/>
      <c r="Z57" s="38"/>
      <c r="AA57" s="38"/>
      <c r="AB57" s="38"/>
      <c r="AC57" s="38"/>
      <c r="AD57" s="38"/>
      <c r="AE57" s="16">
        <f aca="true" t="shared" si="39" ref="AE57:AJ57">AE55+AE56</f>
        <v>5490.442</v>
      </c>
      <c r="AF57" s="16">
        <f t="shared" si="39"/>
        <v>6096.108</v>
      </c>
      <c r="AG57" s="16">
        <f t="shared" si="39"/>
        <v>6558.596</v>
      </c>
      <c r="AH57" s="16">
        <f t="shared" si="39"/>
        <v>6895.547</v>
      </c>
      <c r="AI57" s="16">
        <f t="shared" si="39"/>
        <v>7365.3769999999995</v>
      </c>
      <c r="AJ57" s="55">
        <f t="shared" si="39"/>
        <v>8175.941</v>
      </c>
      <c r="AK57" s="55">
        <f>AK55+AK56</f>
        <v>8568.927</v>
      </c>
      <c r="AL57" s="31">
        <f>AL55+AL56</f>
        <v>8974.521</v>
      </c>
    </row>
    <row r="58" spans="1:38" ht="14.25" customHeight="1">
      <c r="A58" s="23" t="s">
        <v>23</v>
      </c>
      <c r="B58" s="12">
        <v>57.03033942005439</v>
      </c>
      <c r="C58" s="12">
        <v>377.740327932819</v>
      </c>
      <c r="D58" s="13">
        <v>381.849</v>
      </c>
      <c r="E58" s="13">
        <v>316.749</v>
      </c>
      <c r="F58" s="13">
        <v>323.373</v>
      </c>
      <c r="G58" s="13">
        <v>290.754</v>
      </c>
      <c r="H58" s="13">
        <v>285.554</v>
      </c>
      <c r="I58" s="13">
        <v>346.901</v>
      </c>
      <c r="J58" s="13">
        <v>296.42</v>
      </c>
      <c r="K58" s="13">
        <v>420.036</v>
      </c>
      <c r="L58" s="13">
        <v>268.251</v>
      </c>
      <c r="M58" s="13">
        <v>270.119</v>
      </c>
      <c r="N58" s="13">
        <v>269.495</v>
      </c>
      <c r="O58" s="13">
        <v>244.086</v>
      </c>
      <c r="P58" s="13">
        <v>280.851</v>
      </c>
      <c r="Q58" s="53">
        <v>240.538</v>
      </c>
      <c r="R58" s="24">
        <v>281.247</v>
      </c>
      <c r="T58" s="25"/>
      <c r="U58" s="89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64"/>
      <c r="AK58" s="64"/>
      <c r="AL58" s="41"/>
    </row>
    <row r="59" spans="1:38" ht="14.25" customHeight="1">
      <c r="A59" s="23" t="s">
        <v>59</v>
      </c>
      <c r="B59" s="12">
        <v>418.6717190319776</v>
      </c>
      <c r="C59" s="12">
        <v>431.1140936436737</v>
      </c>
      <c r="D59" s="13">
        <v>404.684</v>
      </c>
      <c r="E59" s="13">
        <v>320.597</v>
      </c>
      <c r="F59" s="13">
        <v>264.516</v>
      </c>
      <c r="G59" s="13">
        <v>302.313</v>
      </c>
      <c r="H59" s="13">
        <v>264.899</v>
      </c>
      <c r="I59" s="13">
        <v>758.69</v>
      </c>
      <c r="J59" s="13">
        <v>826.511</v>
      </c>
      <c r="K59" s="13">
        <v>721.924</v>
      </c>
      <c r="L59" s="13">
        <v>751.807</v>
      </c>
      <c r="M59" s="13">
        <v>737.052</v>
      </c>
      <c r="N59" s="13">
        <v>708.272</v>
      </c>
      <c r="O59" s="13">
        <v>708.26</v>
      </c>
      <c r="P59" s="13">
        <v>860.431</v>
      </c>
      <c r="Q59" s="53">
        <v>941.706</v>
      </c>
      <c r="R59" s="24">
        <v>875.763</v>
      </c>
      <c r="T59" s="19" t="s">
        <v>41</v>
      </c>
      <c r="U59" s="87"/>
      <c r="V59" s="47">
        <f aca="true" t="shared" si="40" ref="V59:AE59">100*(V7+V15)/(V49-V34-V44)</f>
        <v>72.52895221453299</v>
      </c>
      <c r="W59" s="47">
        <f t="shared" si="40"/>
        <v>72.2130878452104</v>
      </c>
      <c r="X59" s="47">
        <f t="shared" si="40"/>
        <v>72.93104295856027</v>
      </c>
      <c r="Y59" s="47">
        <f t="shared" si="40"/>
        <v>72.90131016788567</v>
      </c>
      <c r="Z59" s="47">
        <f t="shared" si="40"/>
        <v>71.88112244874436</v>
      </c>
      <c r="AA59" s="47">
        <f t="shared" si="40"/>
        <v>69.70917703625084</v>
      </c>
      <c r="AB59" s="47">
        <f t="shared" si="40"/>
        <v>68.03976572515059</v>
      </c>
      <c r="AC59" s="47">
        <f t="shared" si="40"/>
        <v>67.51241419875724</v>
      </c>
      <c r="AD59" s="47">
        <f t="shared" si="40"/>
        <v>66.96384996263605</v>
      </c>
      <c r="AE59" s="47">
        <f t="shared" si="40"/>
        <v>66.22460462743625</v>
      </c>
      <c r="AF59" s="47">
        <f aca="true" t="shared" si="41" ref="AF59:AK59">100*(AF7+AF15)/(AF49-AF34-AF44)</f>
        <v>64.5987641015925</v>
      </c>
      <c r="AG59" s="47">
        <f t="shared" si="41"/>
        <v>64.88112363537296</v>
      </c>
      <c r="AH59" s="47">
        <f t="shared" si="41"/>
        <v>64.2465126309709</v>
      </c>
      <c r="AI59" s="47">
        <f t="shared" si="41"/>
        <v>62.12521555345952</v>
      </c>
      <c r="AJ59" s="66">
        <f t="shared" si="41"/>
        <v>60.468933076358034</v>
      </c>
      <c r="AK59" s="66">
        <f t="shared" si="41"/>
        <v>61.07377834433233</v>
      </c>
      <c r="AL59" s="49">
        <f>100*(AL7+AL15)/(AL49-AL34-AL44)</f>
        <v>60.23949088794517</v>
      </c>
    </row>
    <row r="60" spans="1:38" ht="14.25" customHeight="1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54"/>
      <c r="R60" s="26"/>
      <c r="S60" s="4"/>
      <c r="T60" s="42" t="s">
        <v>88</v>
      </c>
      <c r="U60" s="92"/>
      <c r="V60" s="38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54"/>
      <c r="AK60" s="54"/>
      <c r="AL60" s="26"/>
    </row>
    <row r="61" spans="1:38" ht="14.25" customHeight="1">
      <c r="A61" s="21" t="s">
        <v>43</v>
      </c>
      <c r="B61" s="11">
        <v>726.7970459472596</v>
      </c>
      <c r="C61" s="11">
        <v>695.3231983288847</v>
      </c>
      <c r="D61" s="14">
        <v>662.653</v>
      </c>
      <c r="E61" s="14">
        <v>977.092</v>
      </c>
      <c r="F61" s="14">
        <v>844.817</v>
      </c>
      <c r="G61" s="14">
        <v>735.772</v>
      </c>
      <c r="H61" s="14">
        <v>719.301</v>
      </c>
      <c r="I61" s="14">
        <v>890.181</v>
      </c>
      <c r="J61" s="14">
        <v>1112.07</v>
      </c>
      <c r="K61" s="14">
        <v>1188.29</v>
      </c>
      <c r="L61" s="14">
        <v>1296.215</v>
      </c>
      <c r="M61" s="14">
        <v>1735.754</v>
      </c>
      <c r="N61" s="14">
        <v>1556.305</v>
      </c>
      <c r="O61" s="14">
        <v>1443.954</v>
      </c>
      <c r="P61" s="14">
        <v>2412.646</v>
      </c>
      <c r="Q61" s="54">
        <v>2051.964</v>
      </c>
      <c r="R61" s="26">
        <v>2107.627</v>
      </c>
      <c r="T61" s="25" t="s">
        <v>107</v>
      </c>
      <c r="U61" s="89"/>
      <c r="V61" s="14">
        <f aca="true" t="shared" si="42" ref="V61:AL61">B55+B61</f>
        <v>2236.7095377691217</v>
      </c>
      <c r="W61" s="14">
        <f t="shared" si="42"/>
        <v>2666.262342891453</v>
      </c>
      <c r="X61" s="14">
        <f t="shared" si="42"/>
        <v>2659.8559999999998</v>
      </c>
      <c r="Y61" s="14">
        <f t="shared" si="42"/>
        <v>2819.022</v>
      </c>
      <c r="Z61" s="14">
        <f t="shared" si="42"/>
        <v>2765.721</v>
      </c>
      <c r="AA61" s="14">
        <f t="shared" si="42"/>
        <v>2641.151</v>
      </c>
      <c r="AB61" s="14">
        <f t="shared" si="42"/>
        <v>2538.548</v>
      </c>
      <c r="AC61" s="14">
        <f t="shared" si="42"/>
        <v>3525.007</v>
      </c>
      <c r="AD61" s="14">
        <f t="shared" si="42"/>
        <v>3727.0860000000002</v>
      </c>
      <c r="AE61" s="14">
        <f t="shared" si="42"/>
        <v>3411.206</v>
      </c>
      <c r="AF61" s="14">
        <f t="shared" si="42"/>
        <v>3548.348</v>
      </c>
      <c r="AG61" s="14">
        <f t="shared" si="42"/>
        <v>4009.3269999999998</v>
      </c>
      <c r="AH61" s="14">
        <f t="shared" si="42"/>
        <v>3790.357</v>
      </c>
      <c r="AI61" s="14">
        <f t="shared" si="42"/>
        <v>3369.2749999999996</v>
      </c>
      <c r="AJ61" s="54">
        <f t="shared" si="42"/>
        <v>4347.991</v>
      </c>
      <c r="AK61" s="54">
        <f t="shared" si="42"/>
        <v>4341.216</v>
      </c>
      <c r="AL61" s="26">
        <f t="shared" si="42"/>
        <v>4148.463</v>
      </c>
    </row>
    <row r="62" spans="1:42" ht="14.25" customHeight="1">
      <c r="A62" s="25"/>
      <c r="B62" s="11"/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54"/>
      <c r="R62" s="26"/>
      <c r="T62" s="25" t="s">
        <v>108</v>
      </c>
      <c r="U62" s="89"/>
      <c r="V62" s="14">
        <f>1000000*V61/5171302</f>
        <v>432.52348011566943</v>
      </c>
      <c r="W62" s="14">
        <f>1000000*W61/5181115</f>
        <v>514.611689354792</v>
      </c>
      <c r="X62" s="14">
        <f>1000000*X61/5194901</f>
        <v>512.0128372032499</v>
      </c>
      <c r="Y62" s="14">
        <f>1000000*Y61/5206295</f>
        <v>541.4641314024657</v>
      </c>
      <c r="Z62" s="14">
        <f>1000000*Z61/5219732</f>
        <v>529.8588126746737</v>
      </c>
      <c r="AA62" s="14">
        <f>1000000*AA61/5236611</f>
        <v>504.3626498130184</v>
      </c>
      <c r="AB62" s="14">
        <f>1000000*AB61/5255580</f>
        <v>483.0195715791597</v>
      </c>
      <c r="AC62" s="14">
        <f>1000000*AC61/5276955</f>
        <v>668.0002008734203</v>
      </c>
      <c r="AD62" s="14">
        <f>1000000*AD61/5300484</f>
        <v>703.1595605231523</v>
      </c>
      <c r="AE62" s="14">
        <f>1000000*AE61/5326314</f>
        <v>640.4440293981917</v>
      </c>
      <c r="AF62" s="14">
        <f>1000000*AF61/5351427</f>
        <v>663.0657579744618</v>
      </c>
      <c r="AG62" s="14">
        <f>1000000*AG61/5375276</f>
        <v>745.8830021007293</v>
      </c>
      <c r="AH62" s="14">
        <f>1000000*AH61/5401267</f>
        <v>701.7533108435483</v>
      </c>
      <c r="AI62" s="14">
        <f>1000000*AI61/5426674</f>
        <v>620.872932481295</v>
      </c>
      <c r="AJ62" s="54">
        <f>1000000*AJ61/5451270</f>
        <v>797.6106485277743</v>
      </c>
      <c r="AK62" s="54">
        <f>1000000*AK61/5471753</f>
        <v>793.3866897866186</v>
      </c>
      <c r="AL62" s="26">
        <f>1000000*AL61/5487308</f>
        <v>756.010597546192</v>
      </c>
      <c r="AP62" s="85"/>
    </row>
    <row r="63" spans="1:38" ht="14.25" customHeight="1">
      <c r="A63" s="32" t="s">
        <v>45</v>
      </c>
      <c r="B63" s="33">
        <f>B7+B28+B29+B34</f>
        <v>32811.42551040831</v>
      </c>
      <c r="C63" s="33">
        <f aca="true" t="shared" si="43" ref="C63:M63">C7+C29+C34</f>
        <v>34106.61230832883</v>
      </c>
      <c r="D63" s="33">
        <f t="shared" si="43"/>
        <v>34756.446</v>
      </c>
      <c r="E63" s="33">
        <f t="shared" si="43"/>
        <v>36197.256</v>
      </c>
      <c r="F63" s="33">
        <f t="shared" si="43"/>
        <v>36923.418</v>
      </c>
      <c r="G63" s="33">
        <f t="shared" si="43"/>
        <v>37772.39</v>
      </c>
      <c r="H63" s="33">
        <f t="shared" si="43"/>
        <v>38630.717000000004</v>
      </c>
      <c r="I63" s="33">
        <f t="shared" si="43"/>
        <v>40300.439</v>
      </c>
      <c r="J63" s="33">
        <f t="shared" si="43"/>
        <v>41784.558999999994</v>
      </c>
      <c r="K63" s="33">
        <f t="shared" si="43"/>
        <v>43203.691999999995</v>
      </c>
      <c r="L63" s="33">
        <f t="shared" si="43"/>
        <v>44725.719999999994</v>
      </c>
      <c r="M63" s="33">
        <f t="shared" si="43"/>
        <v>47347.074</v>
      </c>
      <c r="N63" s="33">
        <f>N7+N29+N34</f>
        <v>48605.75200000001</v>
      </c>
      <c r="O63" s="33">
        <f>O7+O29+O34</f>
        <v>49812.299999999996</v>
      </c>
      <c r="P63" s="33">
        <f>P7+P29+P34</f>
        <v>51515.526</v>
      </c>
      <c r="Q63" s="56">
        <f>Q7+Q29+Q34</f>
        <v>54181.619</v>
      </c>
      <c r="R63" s="34">
        <f>R7+R29+R34</f>
        <v>55085.384000000005</v>
      </c>
      <c r="T63" s="42" t="s">
        <v>44</v>
      </c>
      <c r="U63" s="92"/>
      <c r="V63" s="38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54"/>
      <c r="AK63" s="54"/>
      <c r="AL63" s="26"/>
    </row>
    <row r="64" spans="2:38" ht="14.25" customHeight="1">
      <c r="B64" s="6"/>
      <c r="C64" s="6"/>
      <c r="T64" s="25" t="s">
        <v>107</v>
      </c>
      <c r="U64" s="89"/>
      <c r="V64" s="11">
        <f aca="true" t="shared" si="44" ref="V64:AE64">V28-(V34+V35+V36+V37+V44+V45+V46+V47)</f>
        <v>3675.430098574944</v>
      </c>
      <c r="W64" s="11">
        <f t="shared" si="44"/>
        <v>3863.7164822486056</v>
      </c>
      <c r="X64" s="11">
        <f t="shared" si="44"/>
        <v>4055.026999999999</v>
      </c>
      <c r="Y64" s="11">
        <f t="shared" si="44"/>
        <v>4487.293</v>
      </c>
      <c r="Z64" s="11">
        <f t="shared" si="44"/>
        <v>5217.142</v>
      </c>
      <c r="AA64" s="11">
        <f t="shared" si="44"/>
        <v>6159.297</v>
      </c>
      <c r="AB64" s="11">
        <f t="shared" si="44"/>
        <v>7102.531999999998</v>
      </c>
      <c r="AC64" s="11">
        <f t="shared" si="44"/>
        <v>7727.722000000001</v>
      </c>
      <c r="AD64" s="11">
        <f t="shared" si="44"/>
        <v>8205.559</v>
      </c>
      <c r="AE64" s="11">
        <f t="shared" si="44"/>
        <v>8685.019</v>
      </c>
      <c r="AF64" s="11">
        <f aca="true" t="shared" si="45" ref="AF64:AK64">AF28-(AF34+AF35+AF36+AF37+AF44+AF45+AF46+AF47)</f>
        <v>9842.382</v>
      </c>
      <c r="AG64" s="11">
        <f t="shared" si="45"/>
        <v>10519.408</v>
      </c>
      <c r="AH64" s="11">
        <f t="shared" si="45"/>
        <v>11002.727</v>
      </c>
      <c r="AI64" s="11">
        <f t="shared" si="45"/>
        <v>12270.586</v>
      </c>
      <c r="AJ64" s="52">
        <f t="shared" si="45"/>
        <v>13847.499000000002</v>
      </c>
      <c r="AK64" s="52">
        <f t="shared" si="45"/>
        <v>14740.186</v>
      </c>
      <c r="AL64" s="22">
        <f>AL28-(AL34+AL35+AL36+AL37+AL44+AL45+AL46+AL47)</f>
        <v>15558.417</v>
      </c>
    </row>
    <row r="65" spans="20:38" ht="13.5" customHeight="1">
      <c r="T65" s="43" t="s">
        <v>108</v>
      </c>
      <c r="U65" s="93"/>
      <c r="V65" s="44">
        <f>1000000*V64/5171302</f>
        <v>710.7359227086223</v>
      </c>
      <c r="W65" s="44">
        <f>1000000*W64/5181115</f>
        <v>745.7306935377048</v>
      </c>
      <c r="X65" s="44">
        <f>1000000*X64/5194901</f>
        <v>780.578301684671</v>
      </c>
      <c r="Y65" s="44">
        <f>1000000*Y64/5206295</f>
        <v>861.8975682323033</v>
      </c>
      <c r="Z65" s="44">
        <f>1000000*Z64/5219732</f>
        <v>999.5038059425273</v>
      </c>
      <c r="AA65" s="44">
        <f>1000000*AA64/5236611</f>
        <v>1176.199072262576</v>
      </c>
      <c r="AB65" s="44">
        <f>1000000*AB64/5255580</f>
        <v>1351.4268643993619</v>
      </c>
      <c r="AC65" s="44">
        <f>1000000*AC64/5276955</f>
        <v>1464.4282545521046</v>
      </c>
      <c r="AD65" s="44">
        <f>1000000*AD64/5300484</f>
        <v>1548.0773076571872</v>
      </c>
      <c r="AE65" s="44">
        <f>1000000*AE64/5326314</f>
        <v>1630.587118971957</v>
      </c>
      <c r="AF65" s="44">
        <f>1000000*AF64/5351427</f>
        <v>1839.2070003010413</v>
      </c>
      <c r="AG65" s="44">
        <f>1000000*AG64/5375276</f>
        <v>1956.9986731844094</v>
      </c>
      <c r="AH65" s="44">
        <f>1000000*AH64/5401267</f>
        <v>2037.0640814460755</v>
      </c>
      <c r="AI65" s="44">
        <f>1000000*AI64/5426674</f>
        <v>2261.161440690928</v>
      </c>
      <c r="AJ65" s="67">
        <f>1000000*AJ64/5451270</f>
        <v>2540.2335602529324</v>
      </c>
      <c r="AK65" s="67">
        <f>1000000*AK64/5471753</f>
        <v>2693.8690397757355</v>
      </c>
      <c r="AL65" s="45">
        <f>1000000*AL64/5487308</f>
        <v>2835.3460385310977</v>
      </c>
    </row>
    <row r="66" spans="2:3" ht="12.75">
      <c r="B66" s="6"/>
      <c r="C66" s="6"/>
    </row>
  </sheetData>
  <sheetProtection/>
  <printOptions/>
  <pageMargins left="0.31496062992125984" right="0.2755905511811024" top="0.5511811023622047" bottom="0.5118110236220472" header="0.31496062992125984" footer="0.1968503937007874"/>
  <pageSetup fitToHeight="1" fitToWidth="1" horizontalDpi="300" verticalDpi="300" orientation="portrait" paperSize="9" scale="69" r:id="rId1"/>
  <headerFooter>
    <oddFooter>&amp;R&amp;"Arial,Normaali"&amp;9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65"/>
  <sheetViews>
    <sheetView zoomScale="105" zoomScaleNormal="105" zoomScalePageLayoutView="0" workbookViewId="0" topLeftCell="A1">
      <pane ySplit="5" topLeftCell="A48" activePane="bottomLeft" state="frozen"/>
      <selection pane="topLeft" activeCell="A1" sqref="A1"/>
      <selection pane="bottomLeft" activeCell="AL62" sqref="AL62"/>
    </sheetView>
  </sheetViews>
  <sheetFormatPr defaultColWidth="9.7109375" defaultRowHeight="12.75"/>
  <cols>
    <col min="1" max="1" width="24.28125" style="1" customWidth="1"/>
    <col min="2" max="6" width="5.00390625" style="1" hidden="1" customWidth="1"/>
    <col min="7" max="10" width="5.28125" style="1" hidden="1" customWidth="1"/>
    <col min="11" max="18" width="5.140625" style="1" customWidth="1"/>
    <col min="19" max="19" width="2.140625" style="1" customWidth="1"/>
    <col min="20" max="20" width="24.28125" style="1" customWidth="1"/>
    <col min="21" max="21" width="9.7109375" style="1" hidden="1" customWidth="1"/>
    <col min="22" max="30" width="5.7109375" style="1" hidden="1" customWidth="1"/>
    <col min="31" max="31" width="5.7109375" style="1" customWidth="1"/>
    <col min="32" max="36" width="5.28125" style="1" customWidth="1"/>
    <col min="37" max="37" width="5.421875" style="1" customWidth="1"/>
    <col min="38" max="38" width="6.140625" style="1" customWidth="1"/>
    <col min="39" max="16384" width="9.7109375" style="1" customWidth="1"/>
  </cols>
  <sheetData>
    <row r="1" ht="13.5">
      <c r="A1" s="7">
        <v>42535</v>
      </c>
    </row>
    <row r="2" ht="18" customHeight="1">
      <c r="A2" s="8" t="s">
        <v>115</v>
      </c>
    </row>
    <row r="3" ht="13.5" customHeight="1">
      <c r="A3" s="3" t="s">
        <v>85</v>
      </c>
    </row>
    <row r="4" ht="8.25" customHeight="1"/>
    <row r="5" spans="1:38" ht="16.5" customHeight="1">
      <c r="A5" s="35" t="s">
        <v>0</v>
      </c>
      <c r="B5" s="36" t="s">
        <v>75</v>
      </c>
      <c r="C5" s="36">
        <v>2000</v>
      </c>
      <c r="D5" s="36" t="s">
        <v>68</v>
      </c>
      <c r="E5" s="36" t="s">
        <v>76</v>
      </c>
      <c r="F5" s="36" t="s">
        <v>79</v>
      </c>
      <c r="G5" s="36" t="s">
        <v>84</v>
      </c>
      <c r="H5" s="36" t="s">
        <v>86</v>
      </c>
      <c r="I5" s="36" t="s">
        <v>87</v>
      </c>
      <c r="J5" s="36" t="s">
        <v>90</v>
      </c>
      <c r="K5" s="36" t="s">
        <v>94</v>
      </c>
      <c r="L5" s="36" t="s">
        <v>96</v>
      </c>
      <c r="M5" s="36" t="s">
        <v>98</v>
      </c>
      <c r="N5" s="36" t="s">
        <v>99</v>
      </c>
      <c r="O5" s="36" t="s">
        <v>101</v>
      </c>
      <c r="P5" s="62" t="s">
        <v>102</v>
      </c>
      <c r="Q5" s="62" t="s">
        <v>111</v>
      </c>
      <c r="R5" s="36" t="s">
        <v>112</v>
      </c>
      <c r="S5" s="68"/>
      <c r="T5" s="35" t="s">
        <v>1</v>
      </c>
      <c r="U5" s="35"/>
      <c r="V5" s="36" t="s">
        <v>75</v>
      </c>
      <c r="W5" s="36">
        <v>2000</v>
      </c>
      <c r="X5" s="36" t="s">
        <v>68</v>
      </c>
      <c r="Y5" s="36" t="s">
        <v>76</v>
      </c>
      <c r="Z5" s="36" t="s">
        <v>79</v>
      </c>
      <c r="AA5" s="36" t="s">
        <v>84</v>
      </c>
      <c r="AB5" s="36" t="s">
        <v>86</v>
      </c>
      <c r="AC5" s="36" t="s">
        <v>87</v>
      </c>
      <c r="AD5" s="36" t="s">
        <v>90</v>
      </c>
      <c r="AE5" s="36" t="s">
        <v>94</v>
      </c>
      <c r="AF5" s="36" t="s">
        <v>96</v>
      </c>
      <c r="AG5" s="36" t="s">
        <v>98</v>
      </c>
      <c r="AH5" s="36" t="s">
        <v>99</v>
      </c>
      <c r="AI5" s="36" t="s">
        <v>101</v>
      </c>
      <c r="AJ5" s="62" t="s">
        <v>102</v>
      </c>
      <c r="AK5" s="62" t="s">
        <v>111</v>
      </c>
      <c r="AL5" s="36" t="s">
        <v>112</v>
      </c>
    </row>
    <row r="6" spans="1:38" ht="9" customHeight="1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0"/>
      <c r="Q6" s="50"/>
      <c r="R6" s="18"/>
      <c r="S6" s="68"/>
      <c r="T6" s="17"/>
      <c r="U6" s="86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50"/>
      <c r="AK6" s="50"/>
      <c r="AL6" s="18"/>
    </row>
    <row r="7" spans="1:38" ht="14.25" customHeight="1">
      <c r="A7" s="19" t="s">
        <v>46</v>
      </c>
      <c r="B7" s="10">
        <f aca="true" t="shared" si="0" ref="B7:G7">B8+B14+B22</f>
        <v>3139.5075121137356</v>
      </c>
      <c r="C7" s="10">
        <f t="shared" si="0"/>
        <v>3196.4488801206917</v>
      </c>
      <c r="D7" s="10">
        <f t="shared" si="0"/>
        <v>3255.6420000000003</v>
      </c>
      <c r="E7" s="10">
        <f t="shared" si="0"/>
        <v>3388.2559999999994</v>
      </c>
      <c r="F7" s="10">
        <f t="shared" si="0"/>
        <v>3511.248</v>
      </c>
      <c r="G7" s="10">
        <f t="shared" si="0"/>
        <v>3631.0649999999996</v>
      </c>
      <c r="H7" s="10">
        <f aca="true" t="shared" si="1" ref="H7:M7">H8+H14+H22</f>
        <v>3786.3179999999998</v>
      </c>
      <c r="I7" s="10">
        <f t="shared" si="1"/>
        <v>4041.2769999999996</v>
      </c>
      <c r="J7" s="10">
        <f t="shared" si="1"/>
        <v>4207.76</v>
      </c>
      <c r="K7" s="10">
        <f t="shared" si="1"/>
        <v>4382.175</v>
      </c>
      <c r="L7" s="10">
        <f t="shared" si="1"/>
        <v>4510.064999999999</v>
      </c>
      <c r="M7" s="10">
        <f t="shared" si="1"/>
        <v>6455.853000000001</v>
      </c>
      <c r="N7" s="10">
        <f>N8+N14+N22</f>
        <v>6709.712</v>
      </c>
      <c r="O7" s="10">
        <f>O8+O14+O22</f>
        <v>6920.726</v>
      </c>
      <c r="P7" s="51">
        <f>P8+P14+P22</f>
        <v>7071.403</v>
      </c>
      <c r="Q7" s="51">
        <f>Q8+Q14+Q22</f>
        <v>7228.869</v>
      </c>
      <c r="R7" s="20">
        <f>R8+R14+R22</f>
        <v>7324.357</v>
      </c>
      <c r="S7" s="94"/>
      <c r="T7" s="19" t="s">
        <v>2</v>
      </c>
      <c r="U7" s="87"/>
      <c r="V7" s="10">
        <f aca="true" t="shared" si="2" ref="V7:AA7">SUM(V8:V13)</f>
        <v>2671.0974094013686</v>
      </c>
      <c r="W7" s="10">
        <f t="shared" si="2"/>
        <v>2733.580065021452</v>
      </c>
      <c r="X7" s="10">
        <f t="shared" si="2"/>
        <v>2758.434</v>
      </c>
      <c r="Y7" s="10">
        <f t="shared" si="2"/>
        <v>2796.262</v>
      </c>
      <c r="Z7" s="10">
        <f t="shared" si="2"/>
        <v>2825.2999999999997</v>
      </c>
      <c r="AA7" s="10">
        <f t="shared" si="2"/>
        <v>2855.129</v>
      </c>
      <c r="AB7" s="10">
        <f aca="true" t="shared" si="3" ref="AB7:AG7">SUM(AB8:AB13)</f>
        <v>2901.9990000000003</v>
      </c>
      <c r="AC7" s="10">
        <f t="shared" si="3"/>
        <v>2964.0090000000005</v>
      </c>
      <c r="AD7" s="10">
        <f t="shared" si="3"/>
        <v>2992.804</v>
      </c>
      <c r="AE7" s="10">
        <f t="shared" si="3"/>
        <v>3057.301</v>
      </c>
      <c r="AF7" s="10">
        <f t="shared" si="3"/>
        <v>3075.006</v>
      </c>
      <c r="AG7" s="10">
        <f t="shared" si="3"/>
        <v>3600.6259999999997</v>
      </c>
      <c r="AH7" s="10">
        <f>SUM(AH8:AH13)</f>
        <v>3634.399</v>
      </c>
      <c r="AI7" s="10">
        <f>SUM(AI8:AI13)</f>
        <v>3553.332</v>
      </c>
      <c r="AJ7" s="51">
        <f>SUM(AJ8:AJ13)</f>
        <v>3458.229</v>
      </c>
      <c r="AK7" s="51">
        <f>SUM(AK8:AK13)</f>
        <v>3496.71</v>
      </c>
      <c r="AL7" s="20">
        <f>SUM(AL8:AL13)</f>
        <v>3582.897</v>
      </c>
    </row>
    <row r="8" spans="1:38" ht="14.25" customHeight="1">
      <c r="A8" s="21" t="s">
        <v>3</v>
      </c>
      <c r="B8" s="11">
        <f aca="true" t="shared" si="4" ref="B8:G8">SUM(B9:B12)</f>
        <v>41.24993903187666</v>
      </c>
      <c r="C8" s="11">
        <f t="shared" si="4"/>
        <v>50.08703725194383</v>
      </c>
      <c r="D8" s="11">
        <f t="shared" si="4"/>
        <v>58.370999999999995</v>
      </c>
      <c r="E8" s="11">
        <f t="shared" si="4"/>
        <v>62.394</v>
      </c>
      <c r="F8" s="11">
        <f t="shared" si="4"/>
        <v>69.935</v>
      </c>
      <c r="G8" s="11">
        <f t="shared" si="4"/>
        <v>73.773</v>
      </c>
      <c r="H8" s="11">
        <f aca="true" t="shared" si="5" ref="H8:M8">SUM(H9:H12)</f>
        <v>86.74300000000001</v>
      </c>
      <c r="I8" s="11">
        <f t="shared" si="5"/>
        <v>105.41000000000001</v>
      </c>
      <c r="J8" s="11">
        <f t="shared" si="5"/>
        <v>125.68799999999999</v>
      </c>
      <c r="K8" s="11">
        <f t="shared" si="5"/>
        <v>125.11800000000001</v>
      </c>
      <c r="L8" s="11">
        <f t="shared" si="5"/>
        <v>135.11499999999998</v>
      </c>
      <c r="M8" s="11">
        <f t="shared" si="5"/>
        <v>141.198</v>
      </c>
      <c r="N8" s="11">
        <f>SUM(N9:N12)</f>
        <v>147.32500000000002</v>
      </c>
      <c r="O8" s="11">
        <f>SUM(O9:O12)</f>
        <v>159.04399999999998</v>
      </c>
      <c r="P8" s="52">
        <f>SUM(P9:P12)</f>
        <v>169.05999999999997</v>
      </c>
      <c r="Q8" s="52">
        <f>SUM(Q9:Q12)</f>
        <v>181.38500000000002</v>
      </c>
      <c r="R8" s="22">
        <f>SUM(R9:R12)</f>
        <v>183.89399999999998</v>
      </c>
      <c r="S8" s="94"/>
      <c r="T8" s="21" t="s">
        <v>4</v>
      </c>
      <c r="U8" s="88"/>
      <c r="V8" s="11">
        <v>2194.505300442502</v>
      </c>
      <c r="W8" s="11">
        <v>2345.2598755745717</v>
      </c>
      <c r="X8" s="11">
        <v>2382.392</v>
      </c>
      <c r="Y8" s="11">
        <v>2389.963</v>
      </c>
      <c r="Z8" s="11">
        <v>2384.706</v>
      </c>
      <c r="AA8" s="11">
        <v>2390.751</v>
      </c>
      <c r="AB8" s="11">
        <v>2399.873</v>
      </c>
      <c r="AC8" s="11">
        <v>2422.974</v>
      </c>
      <c r="AD8" s="11">
        <v>2439.15</v>
      </c>
      <c r="AE8" s="11">
        <v>2439.248</v>
      </c>
      <c r="AF8" s="11">
        <v>2370.416</v>
      </c>
      <c r="AG8" s="11">
        <v>2867.545</v>
      </c>
      <c r="AH8" s="11">
        <v>2880.701</v>
      </c>
      <c r="AI8" s="11">
        <v>2876.506</v>
      </c>
      <c r="AJ8" s="52">
        <v>2813.754</v>
      </c>
      <c r="AK8" s="52">
        <v>2807.16</v>
      </c>
      <c r="AL8" s="22">
        <v>2759.37</v>
      </c>
    </row>
    <row r="9" spans="1:38" ht="14.25" customHeight="1">
      <c r="A9" s="23" t="s">
        <v>5</v>
      </c>
      <c r="B9" s="12">
        <v>8.124149599796828</v>
      </c>
      <c r="C9" s="12">
        <v>19.68236028208479</v>
      </c>
      <c r="D9" s="12">
        <v>19.233</v>
      </c>
      <c r="E9" s="12">
        <v>18.879</v>
      </c>
      <c r="F9" s="12">
        <v>18.385</v>
      </c>
      <c r="G9" s="12">
        <v>12.022</v>
      </c>
      <c r="H9" s="12">
        <v>11.823</v>
      </c>
      <c r="I9" s="12">
        <v>13.92</v>
      </c>
      <c r="J9" s="12">
        <v>14.046</v>
      </c>
      <c r="K9" s="12">
        <v>20.375</v>
      </c>
      <c r="L9" s="12">
        <v>24.347</v>
      </c>
      <c r="M9" s="12">
        <v>27.21</v>
      </c>
      <c r="N9" s="12">
        <v>28.458</v>
      </c>
      <c r="O9" s="12">
        <v>25.833</v>
      </c>
      <c r="P9" s="65">
        <v>38.354</v>
      </c>
      <c r="Q9" s="65">
        <v>44.251</v>
      </c>
      <c r="R9" s="29">
        <v>141.552</v>
      </c>
      <c r="S9" s="94"/>
      <c r="T9" s="21" t="s">
        <v>51</v>
      </c>
      <c r="U9" s="21" t="s">
        <v>51</v>
      </c>
      <c r="V9" s="11"/>
      <c r="W9" s="11">
        <v>0.061052217305528504</v>
      </c>
      <c r="X9" s="11">
        <v>0.159</v>
      </c>
      <c r="Y9" s="11">
        <v>0.133</v>
      </c>
      <c r="Z9" s="11">
        <v>0.194</v>
      </c>
      <c r="AA9" s="11">
        <v>0.072</v>
      </c>
      <c r="AB9" s="11"/>
      <c r="AC9" s="11"/>
      <c r="AD9" s="11"/>
      <c r="AE9" s="11"/>
      <c r="AF9" s="11"/>
      <c r="AG9" s="11"/>
      <c r="AH9" s="11"/>
      <c r="AI9" s="11"/>
      <c r="AJ9" s="52"/>
      <c r="AK9" s="52"/>
      <c r="AL9" s="22"/>
    </row>
    <row r="10" spans="1:38" ht="14.25" customHeight="1">
      <c r="A10" s="23" t="s">
        <v>6</v>
      </c>
      <c r="B10" s="12">
        <v>17.15987776101505</v>
      </c>
      <c r="C10" s="12">
        <v>17.536786904215294</v>
      </c>
      <c r="D10" s="12">
        <v>23.298</v>
      </c>
      <c r="E10" s="12">
        <v>19.499</v>
      </c>
      <c r="F10" s="12">
        <v>26.635</v>
      </c>
      <c r="G10" s="12">
        <v>40.349</v>
      </c>
      <c r="H10" s="12">
        <v>50.476</v>
      </c>
      <c r="I10" s="12">
        <v>70.537</v>
      </c>
      <c r="J10" s="12">
        <v>91.417</v>
      </c>
      <c r="K10" s="12">
        <v>85.128</v>
      </c>
      <c r="L10" s="12">
        <v>81.021</v>
      </c>
      <c r="M10" s="12">
        <v>85.619</v>
      </c>
      <c r="N10" s="12">
        <v>86.771</v>
      </c>
      <c r="O10" s="12">
        <v>94.826</v>
      </c>
      <c r="P10" s="65">
        <v>91.149</v>
      </c>
      <c r="Q10" s="65">
        <v>98.305</v>
      </c>
      <c r="R10" s="97" t="s">
        <v>114</v>
      </c>
      <c r="S10" s="94"/>
      <c r="T10" s="25" t="s">
        <v>52</v>
      </c>
      <c r="U10" s="89"/>
      <c r="V10" s="14">
        <v>229.92298674847325</v>
      </c>
      <c r="W10" s="14">
        <v>217.38726783759103</v>
      </c>
      <c r="X10" s="14">
        <v>210.003</v>
      </c>
      <c r="Y10" s="14">
        <v>215.038</v>
      </c>
      <c r="Z10" s="14">
        <v>190.554</v>
      </c>
      <c r="AA10" s="14">
        <v>177.52</v>
      </c>
      <c r="AB10" s="14">
        <v>171.365</v>
      </c>
      <c r="AC10" s="14">
        <v>161.286</v>
      </c>
      <c r="AD10" s="14">
        <v>157.199</v>
      </c>
      <c r="AE10" s="14">
        <v>157.193</v>
      </c>
      <c r="AF10" s="14">
        <v>144.468</v>
      </c>
      <c r="AG10" s="14">
        <v>139.278</v>
      </c>
      <c r="AH10" s="14">
        <v>134.338</v>
      </c>
      <c r="AI10" s="14">
        <v>129.349</v>
      </c>
      <c r="AJ10" s="54">
        <v>114.664</v>
      </c>
      <c r="AK10" s="54">
        <v>83.179</v>
      </c>
      <c r="AL10" s="26">
        <v>73.179</v>
      </c>
    </row>
    <row r="11" spans="1:38" ht="14.25" customHeight="1">
      <c r="A11" s="23" t="s">
        <v>8</v>
      </c>
      <c r="B11" s="12">
        <v>4.772164225418914</v>
      </c>
      <c r="C11" s="12">
        <v>6.955411698815788</v>
      </c>
      <c r="D11" s="12">
        <v>7.071</v>
      </c>
      <c r="E11" s="12">
        <v>13.503</v>
      </c>
      <c r="F11" s="12">
        <v>13.995</v>
      </c>
      <c r="G11" s="12">
        <v>11.314</v>
      </c>
      <c r="H11" s="12">
        <v>12.562</v>
      </c>
      <c r="I11" s="12">
        <v>12.775</v>
      </c>
      <c r="J11" s="12">
        <v>14.44</v>
      </c>
      <c r="K11" s="12">
        <v>15.105</v>
      </c>
      <c r="L11" s="12">
        <v>18.821</v>
      </c>
      <c r="M11" s="12">
        <v>20.255</v>
      </c>
      <c r="N11" s="12">
        <v>20.506</v>
      </c>
      <c r="O11" s="12">
        <v>21.981</v>
      </c>
      <c r="P11" s="65">
        <v>26.32</v>
      </c>
      <c r="Q11" s="65">
        <v>24.841</v>
      </c>
      <c r="R11" s="29">
        <v>25.13</v>
      </c>
      <c r="S11" s="94"/>
      <c r="T11" s="25" t="s">
        <v>53</v>
      </c>
      <c r="U11" s="89"/>
      <c r="V11" s="14">
        <v>157.27404372549714</v>
      </c>
      <c r="W11" s="14">
        <v>103.40059168512529</v>
      </c>
      <c r="X11" s="14">
        <v>104.99</v>
      </c>
      <c r="Y11" s="14">
        <v>111.541</v>
      </c>
      <c r="Z11" s="14">
        <v>105.89</v>
      </c>
      <c r="AA11" s="14">
        <v>140.596</v>
      </c>
      <c r="AB11" s="14">
        <v>149.377</v>
      </c>
      <c r="AC11" s="14">
        <v>155.608</v>
      </c>
      <c r="AD11" s="14">
        <v>165.626</v>
      </c>
      <c r="AE11" s="14">
        <v>163.08</v>
      </c>
      <c r="AF11" s="14">
        <v>164.312</v>
      </c>
      <c r="AG11" s="14">
        <v>168.043</v>
      </c>
      <c r="AH11" s="14">
        <v>167.924</v>
      </c>
      <c r="AI11" s="14">
        <v>160.154</v>
      </c>
      <c r="AJ11" s="54">
        <v>159.999</v>
      </c>
      <c r="AK11" s="54">
        <v>163.864</v>
      </c>
      <c r="AL11" s="26">
        <v>160.628</v>
      </c>
    </row>
    <row r="12" spans="1:38" ht="14.25" customHeight="1">
      <c r="A12" s="23" t="s">
        <v>10</v>
      </c>
      <c r="B12" s="12">
        <v>11.193747445645867</v>
      </c>
      <c r="C12" s="12">
        <v>5.912478366827959</v>
      </c>
      <c r="D12" s="12">
        <v>8.769</v>
      </c>
      <c r="E12" s="12">
        <v>10.513</v>
      </c>
      <c r="F12" s="12">
        <v>10.92</v>
      </c>
      <c r="G12" s="12">
        <v>10.088</v>
      </c>
      <c r="H12" s="12">
        <v>11.882</v>
      </c>
      <c r="I12" s="12">
        <v>8.178</v>
      </c>
      <c r="J12" s="12">
        <v>5.785</v>
      </c>
      <c r="K12" s="12">
        <v>4.51</v>
      </c>
      <c r="L12" s="12">
        <v>10.926</v>
      </c>
      <c r="M12" s="12">
        <v>8.114</v>
      </c>
      <c r="N12" s="12">
        <v>11.59</v>
      </c>
      <c r="O12" s="12">
        <v>16.404</v>
      </c>
      <c r="P12" s="65">
        <v>13.237</v>
      </c>
      <c r="Q12" s="65">
        <v>13.988</v>
      </c>
      <c r="R12" s="29">
        <v>17.212</v>
      </c>
      <c r="S12" s="94"/>
      <c r="T12" s="21" t="s">
        <v>7</v>
      </c>
      <c r="U12" s="88"/>
      <c r="V12" s="11">
        <v>63.16768504456139</v>
      </c>
      <c r="W12" s="11">
        <v>102.23790854949686</v>
      </c>
      <c r="X12" s="11">
        <v>73.443</v>
      </c>
      <c r="Y12" s="11">
        <v>75.013</v>
      </c>
      <c r="Z12" s="11">
        <v>84.461</v>
      </c>
      <c r="AA12" s="11">
        <v>113.432</v>
      </c>
      <c r="AB12" s="11">
        <v>140.47</v>
      </c>
      <c r="AC12" s="11">
        <v>178.779</v>
      </c>
      <c r="AD12" s="11">
        <v>214.785</v>
      </c>
      <c r="AE12" s="11">
        <v>224.805</v>
      </c>
      <c r="AF12" s="11">
        <v>294.302</v>
      </c>
      <c r="AG12" s="11">
        <v>359.301</v>
      </c>
      <c r="AH12" s="11">
        <v>444.258</v>
      </c>
      <c r="AI12" s="11">
        <v>442.531</v>
      </c>
      <c r="AJ12" s="52">
        <v>319.708</v>
      </c>
      <c r="AK12" s="52">
        <v>345.647</v>
      </c>
      <c r="AL12" s="22">
        <v>382.644</v>
      </c>
    </row>
    <row r="13" spans="1:38" ht="14.25" customHeigh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52"/>
      <c r="Q13" s="52"/>
      <c r="R13" s="22"/>
      <c r="S13" s="68"/>
      <c r="T13" s="21" t="s">
        <v>9</v>
      </c>
      <c r="U13" s="88"/>
      <c r="V13" s="11">
        <v>26.22739344033449</v>
      </c>
      <c r="W13" s="11">
        <v>-34.76663084263833</v>
      </c>
      <c r="X13" s="11">
        <v>-12.553</v>
      </c>
      <c r="Y13" s="11">
        <v>4.574</v>
      </c>
      <c r="Z13" s="11">
        <v>59.495</v>
      </c>
      <c r="AA13" s="11">
        <v>32.758</v>
      </c>
      <c r="AB13" s="11">
        <v>40.914</v>
      </c>
      <c r="AC13" s="11">
        <v>45.362</v>
      </c>
      <c r="AD13" s="11">
        <v>16.044</v>
      </c>
      <c r="AE13" s="11">
        <v>72.975</v>
      </c>
      <c r="AF13" s="11">
        <v>101.508</v>
      </c>
      <c r="AG13" s="11">
        <v>66.459</v>
      </c>
      <c r="AH13" s="11">
        <v>7.178</v>
      </c>
      <c r="AI13" s="11">
        <v>-55.208</v>
      </c>
      <c r="AJ13" s="52">
        <v>50.104</v>
      </c>
      <c r="AK13" s="52">
        <v>96.86</v>
      </c>
      <c r="AL13" s="22">
        <v>207.076</v>
      </c>
    </row>
    <row r="14" spans="1:38" ht="14.25" customHeight="1">
      <c r="A14" s="21" t="s">
        <v>11</v>
      </c>
      <c r="B14" s="11">
        <f aca="true" t="shared" si="6" ref="B14:G14">SUM(B15:B20)</f>
        <v>2922.6456633584103</v>
      </c>
      <c r="C14" s="11">
        <f t="shared" si="6"/>
        <v>2995.844749088842</v>
      </c>
      <c r="D14" s="11">
        <f t="shared" si="6"/>
        <v>3029.039</v>
      </c>
      <c r="E14" s="11">
        <f t="shared" si="6"/>
        <v>3137.1759999999995</v>
      </c>
      <c r="F14" s="11">
        <f t="shared" si="6"/>
        <v>3257.817</v>
      </c>
      <c r="G14" s="11">
        <f t="shared" si="6"/>
        <v>3368.8409999999994</v>
      </c>
      <c r="H14" s="11">
        <f aca="true" t="shared" si="7" ref="H14:M14">SUM(H15:H20)</f>
        <v>3507.513</v>
      </c>
      <c r="I14" s="11">
        <f t="shared" si="7"/>
        <v>3746.3669999999997</v>
      </c>
      <c r="J14" s="11">
        <f t="shared" si="7"/>
        <v>3873.081</v>
      </c>
      <c r="K14" s="11">
        <f t="shared" si="7"/>
        <v>4038.355</v>
      </c>
      <c r="L14" s="11">
        <f t="shared" si="7"/>
        <v>4110.106999999999</v>
      </c>
      <c r="M14" s="11">
        <f t="shared" si="7"/>
        <v>5845.900000000001</v>
      </c>
      <c r="N14" s="11">
        <f>SUM(N15:N20)</f>
        <v>6027.542</v>
      </c>
      <c r="O14" s="11">
        <f>SUM(O15:O20)</f>
        <v>6192.87</v>
      </c>
      <c r="P14" s="52">
        <f>SUM(P15:P20)</f>
        <v>6377.804</v>
      </c>
      <c r="Q14" s="52">
        <f>SUM(Q15:Q20)</f>
        <v>6516.2789999999995</v>
      </c>
      <c r="R14" s="22">
        <f>SUM(R15:R20)</f>
        <v>6596.82</v>
      </c>
      <c r="S14" s="94"/>
      <c r="T14" s="25"/>
      <c r="U14" s="89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54"/>
      <c r="AK14" s="54"/>
      <c r="AL14" s="26"/>
    </row>
    <row r="15" spans="1:38" ht="14.25" customHeight="1">
      <c r="A15" s="23" t="s">
        <v>12</v>
      </c>
      <c r="B15" s="12">
        <v>119.24036241134394</v>
      </c>
      <c r="C15" s="12">
        <v>120.99557161189627</v>
      </c>
      <c r="D15" s="12">
        <v>121.402</v>
      </c>
      <c r="E15" s="12">
        <v>123.852</v>
      </c>
      <c r="F15" s="12">
        <f>124.49</f>
        <v>124.49</v>
      </c>
      <c r="G15" s="12">
        <v>124.162</v>
      </c>
      <c r="H15" s="12">
        <v>119.854</v>
      </c>
      <c r="I15" s="12">
        <v>118.909</v>
      </c>
      <c r="J15" s="12">
        <v>116.632</v>
      </c>
      <c r="K15" s="12">
        <v>117.067</v>
      </c>
      <c r="L15" s="12">
        <v>114.383</v>
      </c>
      <c r="M15" s="12">
        <v>115.145</v>
      </c>
      <c r="N15" s="12">
        <v>118.156</v>
      </c>
      <c r="O15" s="12">
        <v>119.774</v>
      </c>
      <c r="P15" s="65">
        <v>122.582</v>
      </c>
      <c r="Q15" s="65">
        <v>127.855</v>
      </c>
      <c r="R15" s="29">
        <v>134.341</v>
      </c>
      <c r="S15" s="94"/>
      <c r="T15" s="19" t="s">
        <v>54</v>
      </c>
      <c r="U15" s="87"/>
      <c r="V15" s="10">
        <f aca="true" t="shared" si="8" ref="V15:AA15">V16+V17</f>
        <v>127.82736518476284</v>
      </c>
      <c r="W15" s="10">
        <f t="shared" si="8"/>
        <v>144.55163621624257</v>
      </c>
      <c r="X15" s="10">
        <f t="shared" si="8"/>
        <v>159.57</v>
      </c>
      <c r="Y15" s="10">
        <f t="shared" si="8"/>
        <v>187.963</v>
      </c>
      <c r="Z15" s="10">
        <f t="shared" si="8"/>
        <v>208.00900000000001</v>
      </c>
      <c r="AA15" s="10">
        <f t="shared" si="8"/>
        <v>218.41</v>
      </c>
      <c r="AB15" s="10">
        <f aca="true" t="shared" si="9" ref="AB15:AG15">AB16+AB17</f>
        <v>221.77100000000002</v>
      </c>
      <c r="AC15" s="10">
        <f t="shared" si="9"/>
        <v>236.705</v>
      </c>
      <c r="AD15" s="10">
        <f t="shared" si="9"/>
        <v>249.597</v>
      </c>
      <c r="AE15" s="10">
        <f t="shared" si="9"/>
        <v>281.932</v>
      </c>
      <c r="AF15" s="10">
        <f t="shared" si="9"/>
        <v>296.714</v>
      </c>
      <c r="AG15" s="10">
        <f t="shared" si="9"/>
        <v>322.694</v>
      </c>
      <c r="AH15" s="10">
        <f>AH16+AH17</f>
        <v>329.611</v>
      </c>
      <c r="AI15" s="10">
        <f>AI16+AI17</f>
        <v>332.158</v>
      </c>
      <c r="AJ15" s="51">
        <f>AJ16+AJ17</f>
        <v>337.818</v>
      </c>
      <c r="AK15" s="51">
        <f>AK16+AK17</f>
        <v>332.853</v>
      </c>
      <c r="AL15" s="20">
        <f>AL16+AL17</f>
        <v>340.849</v>
      </c>
    </row>
    <row r="16" spans="1:38" ht="14.25" customHeight="1">
      <c r="A16" s="23" t="s">
        <v>14</v>
      </c>
      <c r="B16" s="12">
        <v>2350.134802623059</v>
      </c>
      <c r="C16" s="12">
        <v>2395.3386716181194</v>
      </c>
      <c r="D16" s="12">
        <v>2389.478</v>
      </c>
      <c r="E16" s="12">
        <v>2422.819</v>
      </c>
      <c r="F16" s="12">
        <v>2509.757</v>
      </c>
      <c r="G16" s="12">
        <v>2560.491</v>
      </c>
      <c r="H16" s="12">
        <v>2603.584</v>
      </c>
      <c r="I16" s="12">
        <v>2703.437</v>
      </c>
      <c r="J16" s="12">
        <v>2889.414</v>
      </c>
      <c r="K16" s="12">
        <v>2943.407</v>
      </c>
      <c r="L16" s="12">
        <v>3005.787</v>
      </c>
      <c r="M16" s="12">
        <v>3260.708</v>
      </c>
      <c r="N16" s="12">
        <v>3353.089</v>
      </c>
      <c r="O16" s="12">
        <v>3343.848</v>
      </c>
      <c r="P16" s="65">
        <v>3572.033</v>
      </c>
      <c r="Q16" s="65">
        <v>3581.441</v>
      </c>
      <c r="R16" s="29">
        <v>3798.49</v>
      </c>
      <c r="S16" s="94"/>
      <c r="T16" s="25" t="s">
        <v>56</v>
      </c>
      <c r="U16" s="89"/>
      <c r="V16" s="11">
        <v>51.47896053133929</v>
      </c>
      <c r="W16" s="11">
        <v>70.71377274111</v>
      </c>
      <c r="X16" s="11">
        <v>89.362</v>
      </c>
      <c r="Y16" s="11">
        <v>100.654</v>
      </c>
      <c r="Z16" s="11">
        <v>113.717</v>
      </c>
      <c r="AA16" s="11">
        <v>127.896</v>
      </c>
      <c r="AB16" s="11">
        <v>133.804</v>
      </c>
      <c r="AC16" s="11">
        <v>148.08</v>
      </c>
      <c r="AD16" s="11">
        <v>156.013</v>
      </c>
      <c r="AE16" s="11">
        <v>172.71</v>
      </c>
      <c r="AF16" s="11">
        <v>183.927</v>
      </c>
      <c r="AG16" s="11">
        <v>198.72</v>
      </c>
      <c r="AH16" s="11">
        <v>222.709</v>
      </c>
      <c r="AI16" s="11">
        <v>230.513</v>
      </c>
      <c r="AJ16" s="52">
        <v>249.158</v>
      </c>
      <c r="AK16" s="52">
        <v>255.938</v>
      </c>
      <c r="AL16" s="22">
        <v>262.876</v>
      </c>
    </row>
    <row r="17" spans="1:38" ht="14.25" customHeight="1">
      <c r="A17" s="23" t="s">
        <v>15</v>
      </c>
      <c r="B17" s="12">
        <v>121.47406626267926</v>
      </c>
      <c r="C17" s="12">
        <v>134.08782437143967</v>
      </c>
      <c r="D17" s="12">
        <v>138.993</v>
      </c>
      <c r="E17" s="12">
        <v>153.152</v>
      </c>
      <c r="F17" s="12">
        <f>145.605</f>
        <v>145.605</v>
      </c>
      <c r="G17" s="12">
        <v>158.836</v>
      </c>
      <c r="H17" s="12">
        <v>164.24</v>
      </c>
      <c r="I17" s="12">
        <v>165.522</v>
      </c>
      <c r="J17" s="12">
        <v>214.165</v>
      </c>
      <c r="K17" s="12">
        <v>218.437</v>
      </c>
      <c r="L17" s="12">
        <v>261.863</v>
      </c>
      <c r="M17" s="12">
        <v>1707.485</v>
      </c>
      <c r="N17" s="12">
        <v>1748.352</v>
      </c>
      <c r="O17" s="12">
        <v>1762.914</v>
      </c>
      <c r="P17" s="65">
        <v>1790.296</v>
      </c>
      <c r="Q17" s="65">
        <v>1804.835</v>
      </c>
      <c r="R17" s="29">
        <v>1870.207</v>
      </c>
      <c r="S17" s="94"/>
      <c r="T17" s="25" t="s">
        <v>13</v>
      </c>
      <c r="U17" s="89"/>
      <c r="V17" s="14">
        <v>76.34840465342354</v>
      </c>
      <c r="W17" s="14">
        <v>73.83786347513256</v>
      </c>
      <c r="X17" s="14">
        <v>70.208</v>
      </c>
      <c r="Y17" s="14">
        <v>87.309</v>
      </c>
      <c r="Z17" s="14">
        <v>94.292</v>
      </c>
      <c r="AA17" s="14">
        <v>90.514</v>
      </c>
      <c r="AB17" s="14">
        <v>87.967</v>
      </c>
      <c r="AC17" s="14">
        <v>88.625</v>
      </c>
      <c r="AD17" s="14">
        <v>93.584</v>
      </c>
      <c r="AE17" s="14">
        <v>109.222</v>
      </c>
      <c r="AF17" s="14">
        <v>112.787</v>
      </c>
      <c r="AG17" s="14">
        <v>123.974</v>
      </c>
      <c r="AH17" s="14">
        <v>106.902</v>
      </c>
      <c r="AI17" s="14">
        <v>101.645</v>
      </c>
      <c r="AJ17" s="54">
        <v>88.66</v>
      </c>
      <c r="AK17" s="54">
        <v>76.915</v>
      </c>
      <c r="AL17" s="26">
        <v>77.973</v>
      </c>
    </row>
    <row r="18" spans="1:38" ht="14.25" customHeight="1">
      <c r="A18" s="23" t="s">
        <v>16</v>
      </c>
      <c r="B18" s="12">
        <v>249.3369190999255</v>
      </c>
      <c r="C18" s="12">
        <v>281.09517250194676</v>
      </c>
      <c r="D18" s="12">
        <v>304.906</v>
      </c>
      <c r="E18" s="12">
        <v>326.421</v>
      </c>
      <c r="F18" s="12">
        <v>360.536</v>
      </c>
      <c r="G18" s="12">
        <v>374.767</v>
      </c>
      <c r="H18" s="12">
        <v>395.674</v>
      </c>
      <c r="I18" s="12">
        <v>414.345</v>
      </c>
      <c r="J18" s="12">
        <v>437.676</v>
      </c>
      <c r="K18" s="12">
        <v>442.815</v>
      </c>
      <c r="L18" s="12">
        <v>428.064</v>
      </c>
      <c r="M18" s="12">
        <v>444.609</v>
      </c>
      <c r="N18" s="12">
        <v>449.734</v>
      </c>
      <c r="O18" s="12">
        <v>468.215</v>
      </c>
      <c r="P18" s="65">
        <v>494.528</v>
      </c>
      <c r="Q18" s="65">
        <v>484.945</v>
      </c>
      <c r="R18" s="29">
        <v>497.136</v>
      </c>
      <c r="S18" s="94"/>
      <c r="T18" s="25"/>
      <c r="U18" s="8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54"/>
      <c r="AK18" s="54"/>
      <c r="AL18" s="26"/>
    </row>
    <row r="19" spans="1:38" ht="14.25" customHeight="1">
      <c r="A19" s="23" t="s">
        <v>17</v>
      </c>
      <c r="B19" s="12">
        <v>2.556961045994352</v>
      </c>
      <c r="C19" s="12">
        <v>2.438052181986064</v>
      </c>
      <c r="D19" s="12">
        <v>2.501</v>
      </c>
      <c r="E19" s="12">
        <v>2.535</v>
      </c>
      <c r="F19" s="12">
        <v>2.578</v>
      </c>
      <c r="G19" s="12">
        <v>2.743</v>
      </c>
      <c r="H19" s="12">
        <v>2.718</v>
      </c>
      <c r="I19" s="12">
        <v>2.881</v>
      </c>
      <c r="J19" s="12">
        <v>3.072</v>
      </c>
      <c r="K19" s="12">
        <v>2.877</v>
      </c>
      <c r="L19" s="12">
        <v>2.913</v>
      </c>
      <c r="M19" s="12">
        <v>2.907</v>
      </c>
      <c r="N19" s="12">
        <v>3.018</v>
      </c>
      <c r="O19" s="12">
        <v>3.054</v>
      </c>
      <c r="P19" s="65">
        <v>3.133</v>
      </c>
      <c r="Q19" s="65">
        <v>3.845</v>
      </c>
      <c r="R19" s="29">
        <v>5.705</v>
      </c>
      <c r="S19" s="94"/>
      <c r="T19" s="19" t="s">
        <v>55</v>
      </c>
      <c r="U19" s="87"/>
      <c r="V19" s="16">
        <v>74.40112484085218</v>
      </c>
      <c r="W19" s="16">
        <f aca="true" t="shared" si="10" ref="W19:AB19">W20+W21</f>
        <v>103.65960109187601</v>
      </c>
      <c r="X19" s="16">
        <f t="shared" si="10"/>
        <v>112.014</v>
      </c>
      <c r="Y19" s="16">
        <f t="shared" si="10"/>
        <v>120.997</v>
      </c>
      <c r="Z19" s="16">
        <f t="shared" si="10"/>
        <v>132.064</v>
      </c>
      <c r="AA19" s="16">
        <f t="shared" si="10"/>
        <v>144.83800000000002</v>
      </c>
      <c r="AB19" s="16">
        <f t="shared" si="10"/>
        <v>145.932</v>
      </c>
      <c r="AC19" s="16">
        <f aca="true" t="shared" si="11" ref="AC19:AH19">AC20+AC21</f>
        <v>159.345</v>
      </c>
      <c r="AD19" s="16">
        <f t="shared" si="11"/>
        <v>166.911</v>
      </c>
      <c r="AE19" s="16">
        <f t="shared" si="11"/>
        <v>178.12400000000002</v>
      </c>
      <c r="AF19" s="16">
        <f t="shared" si="11"/>
        <v>174.838</v>
      </c>
      <c r="AG19" s="16">
        <f t="shared" si="11"/>
        <v>170.99800000000002</v>
      </c>
      <c r="AH19" s="16">
        <f t="shared" si="11"/>
        <v>178.531</v>
      </c>
      <c r="AI19" s="16">
        <f>AI20+AI21</f>
        <v>191.696</v>
      </c>
      <c r="AJ19" s="55">
        <f>AJ20+AJ21</f>
        <v>221.553</v>
      </c>
      <c r="AK19" s="55">
        <f>AK20+AK21</f>
        <v>291.833</v>
      </c>
      <c r="AL19" s="31">
        <f>AL20+AL21</f>
        <v>310.162</v>
      </c>
    </row>
    <row r="20" spans="1:38" ht="14.25" customHeight="1">
      <c r="A20" s="23" t="s">
        <v>77</v>
      </c>
      <c r="B20" s="12">
        <v>79.9025519154082</v>
      </c>
      <c r="C20" s="12">
        <v>61.8894568034539</v>
      </c>
      <c r="D20" s="12">
        <v>71.759</v>
      </c>
      <c r="E20" s="12">
        <v>108.397</v>
      </c>
      <c r="F20" s="12">
        <v>114.851</v>
      </c>
      <c r="G20" s="12">
        <v>147.842</v>
      </c>
      <c r="H20" s="12">
        <v>221.443</v>
      </c>
      <c r="I20" s="12">
        <v>341.273</v>
      </c>
      <c r="J20" s="12">
        <v>212.122</v>
      </c>
      <c r="K20" s="12">
        <v>313.752</v>
      </c>
      <c r="L20" s="12">
        <v>297.097</v>
      </c>
      <c r="M20" s="12">
        <v>315.046</v>
      </c>
      <c r="N20" s="12">
        <v>355.193</v>
      </c>
      <c r="O20" s="12">
        <v>495.065</v>
      </c>
      <c r="P20" s="65">
        <v>395.232</v>
      </c>
      <c r="Q20" s="65">
        <v>513.358</v>
      </c>
      <c r="R20" s="29">
        <v>290.941</v>
      </c>
      <c r="S20" s="68"/>
      <c r="T20" s="21" t="s">
        <v>57</v>
      </c>
      <c r="U20" s="88"/>
      <c r="V20" s="11"/>
      <c r="W20" s="11">
        <v>15.170550966828296</v>
      </c>
      <c r="X20" s="11">
        <v>14.994</v>
      </c>
      <c r="Y20" s="11">
        <v>12.94</v>
      </c>
      <c r="Z20" s="11">
        <v>11.791</v>
      </c>
      <c r="AA20" s="11">
        <v>11.896</v>
      </c>
      <c r="AB20" s="11">
        <v>10.297</v>
      </c>
      <c r="AC20" s="11">
        <v>9.005</v>
      </c>
      <c r="AD20" s="11">
        <v>8.186</v>
      </c>
      <c r="AE20" s="11">
        <v>7.33</v>
      </c>
      <c r="AF20" s="11">
        <v>5.767</v>
      </c>
      <c r="AG20" s="11">
        <v>5.222</v>
      </c>
      <c r="AH20" s="11">
        <v>4.448</v>
      </c>
      <c r="AI20" s="11">
        <v>4.197</v>
      </c>
      <c r="AJ20" s="52">
        <v>3.54</v>
      </c>
      <c r="AK20" s="52">
        <v>3.439</v>
      </c>
      <c r="AL20" s="22">
        <v>2.438</v>
      </c>
    </row>
    <row r="21" spans="1:38" ht="14.25" customHeight="1">
      <c r="A21" s="2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4"/>
      <c r="Q21" s="54"/>
      <c r="R21" s="26"/>
      <c r="S21" s="68"/>
      <c r="T21" s="25" t="s">
        <v>58</v>
      </c>
      <c r="U21" s="89"/>
      <c r="V21" s="14"/>
      <c r="W21" s="14">
        <v>88.48905012504771</v>
      </c>
      <c r="X21" s="14">
        <v>97.02</v>
      </c>
      <c r="Y21" s="14">
        <v>108.057</v>
      </c>
      <c r="Z21" s="14">
        <v>120.273</v>
      </c>
      <c r="AA21" s="14">
        <f>132.942</f>
        <v>132.942</v>
      </c>
      <c r="AB21" s="14">
        <v>135.635</v>
      </c>
      <c r="AC21" s="14">
        <v>150.34</v>
      </c>
      <c r="AD21" s="14">
        <v>158.725</v>
      </c>
      <c r="AE21" s="14">
        <v>170.794</v>
      </c>
      <c r="AF21" s="14">
        <v>169.071</v>
      </c>
      <c r="AG21" s="14">
        <v>165.776</v>
      </c>
      <c r="AH21" s="14">
        <v>174.083</v>
      </c>
      <c r="AI21" s="14">
        <v>187.499</v>
      </c>
      <c r="AJ21" s="54">
        <v>218.013</v>
      </c>
      <c r="AK21" s="54">
        <v>288.394</v>
      </c>
      <c r="AL21" s="26">
        <v>307.724</v>
      </c>
    </row>
    <row r="22" spans="1:38" ht="14.25" customHeight="1">
      <c r="A22" s="21" t="s">
        <v>47</v>
      </c>
      <c r="B22" s="11">
        <f aca="true" t="shared" si="12" ref="B22:G22">SUM(B23:B26)</f>
        <v>175.61190972344858</v>
      </c>
      <c r="C22" s="11">
        <f t="shared" si="12"/>
        <v>150.5170937799059</v>
      </c>
      <c r="D22" s="11">
        <f t="shared" si="12"/>
        <v>168.23199999999997</v>
      </c>
      <c r="E22" s="11">
        <f t="shared" si="12"/>
        <v>188.68599999999998</v>
      </c>
      <c r="F22" s="11">
        <f t="shared" si="12"/>
        <v>183.49599999999998</v>
      </c>
      <c r="G22" s="11">
        <f t="shared" si="12"/>
        <v>188.45099999999996</v>
      </c>
      <c r="H22" s="11">
        <f aca="true" t="shared" si="13" ref="H22:M22">SUM(H23:H26)</f>
        <v>192.06199999999998</v>
      </c>
      <c r="I22" s="11">
        <f t="shared" si="13"/>
        <v>189.5</v>
      </c>
      <c r="J22" s="11">
        <f t="shared" si="13"/>
        <v>208.991</v>
      </c>
      <c r="K22" s="11">
        <f t="shared" si="13"/>
        <v>218.70200000000003</v>
      </c>
      <c r="L22" s="11">
        <f t="shared" si="13"/>
        <v>264.843</v>
      </c>
      <c r="M22" s="11">
        <f t="shared" si="13"/>
        <v>468.755</v>
      </c>
      <c r="N22" s="11">
        <f>SUM(N23:N26)</f>
        <v>534.845</v>
      </c>
      <c r="O22" s="11">
        <f>SUM(O23:O26)</f>
        <v>568.8120000000001</v>
      </c>
      <c r="P22" s="52">
        <f>SUM(P23:P26)</f>
        <v>524.539</v>
      </c>
      <c r="Q22" s="52">
        <f>SUM(Q23:Q26)</f>
        <v>531.2049999999999</v>
      </c>
      <c r="R22" s="22">
        <f>SUM(R23:R26)</f>
        <v>543.643</v>
      </c>
      <c r="S22" s="68"/>
      <c r="T22" s="25"/>
      <c r="U22" s="89"/>
      <c r="V22" s="38"/>
      <c r="W22" s="38"/>
      <c r="X22" s="38"/>
      <c r="Y22" s="38"/>
      <c r="Z22" s="38"/>
      <c r="AA22" s="38"/>
      <c r="AB22" s="38"/>
      <c r="AC22" s="38"/>
      <c r="AD22" s="38"/>
      <c r="AE22" s="14"/>
      <c r="AF22" s="14"/>
      <c r="AG22" s="14"/>
      <c r="AH22" s="14"/>
      <c r="AI22" s="14"/>
      <c r="AJ22" s="54"/>
      <c r="AK22" s="54"/>
      <c r="AL22" s="26"/>
    </row>
    <row r="23" spans="1:38" ht="14.25" customHeight="1">
      <c r="A23" s="23" t="s">
        <v>21</v>
      </c>
      <c r="B23" s="12">
        <v>115.07838398312738</v>
      </c>
      <c r="C23" s="12">
        <v>123.26661318290604</v>
      </c>
      <c r="D23" s="12">
        <v>152.215</v>
      </c>
      <c r="E23" s="12">
        <v>164.771</v>
      </c>
      <c r="F23" s="12">
        <v>160.633</v>
      </c>
      <c r="G23" s="12">
        <v>164.902</v>
      </c>
      <c r="H23" s="12">
        <v>168.875</v>
      </c>
      <c r="I23" s="12">
        <v>167.918</v>
      </c>
      <c r="J23" s="12">
        <v>190.743</v>
      </c>
      <c r="K23" s="12">
        <v>197.995</v>
      </c>
      <c r="L23" s="12">
        <v>231.88</v>
      </c>
      <c r="M23" s="12">
        <v>418.106</v>
      </c>
      <c r="N23" s="12">
        <v>451.089</v>
      </c>
      <c r="O23" s="12">
        <v>492.937</v>
      </c>
      <c r="P23" s="65">
        <v>445.166</v>
      </c>
      <c r="Q23" s="65">
        <v>450.506</v>
      </c>
      <c r="R23" s="29">
        <v>445.336</v>
      </c>
      <c r="S23" s="68"/>
      <c r="T23" s="30" t="s">
        <v>18</v>
      </c>
      <c r="U23" s="90"/>
      <c r="V23" s="16">
        <f aca="true" t="shared" si="14" ref="V23:AA23">V24+V25+V26</f>
        <v>85.4386257028153</v>
      </c>
      <c r="W23" s="16">
        <f t="shared" si="14"/>
        <v>67.01212466761861</v>
      </c>
      <c r="X23" s="16">
        <f t="shared" si="14"/>
        <v>56.00900000000001</v>
      </c>
      <c r="Y23" s="16">
        <f t="shared" si="14"/>
        <v>86.88199999999999</v>
      </c>
      <c r="Z23" s="16">
        <f t="shared" si="14"/>
        <v>93.46600000000001</v>
      </c>
      <c r="AA23" s="16">
        <f t="shared" si="14"/>
        <v>110.938</v>
      </c>
      <c r="AB23" s="16">
        <f aca="true" t="shared" si="15" ref="AB23:AG23">AB24+AB25+AB26</f>
        <v>125.86200000000001</v>
      </c>
      <c r="AC23" s="16">
        <f t="shared" si="15"/>
        <v>131.66</v>
      </c>
      <c r="AD23" s="16">
        <f t="shared" si="15"/>
        <v>111.741</v>
      </c>
      <c r="AE23" s="16">
        <f t="shared" si="15"/>
        <v>139.87</v>
      </c>
      <c r="AF23" s="16">
        <f t="shared" si="15"/>
        <v>158.224</v>
      </c>
      <c r="AG23" s="16">
        <f t="shared" si="15"/>
        <v>159.423</v>
      </c>
      <c r="AH23" s="16">
        <f>AH24+AH25+AH26</f>
        <v>174.864</v>
      </c>
      <c r="AI23" s="16">
        <f>AI24+AI25+AI26</f>
        <v>211.24400000000003</v>
      </c>
      <c r="AJ23" s="55">
        <f>AJ24+AJ25+AJ26</f>
        <v>193.729</v>
      </c>
      <c r="AK23" s="55">
        <f>AK24+AK25+AK26</f>
        <v>121.25099999999999</v>
      </c>
      <c r="AL23" s="31">
        <f>AL24+AL25+AL26</f>
        <v>92.49</v>
      </c>
    </row>
    <row r="24" spans="1:38" ht="14.25" customHeight="1">
      <c r="A24" s="23" t="s">
        <v>23</v>
      </c>
      <c r="B24" s="12">
        <v>1.3396168342659354</v>
      </c>
      <c r="C24" s="12">
        <v>1.301269987032711</v>
      </c>
      <c r="D24" s="12">
        <v>1.301</v>
      </c>
      <c r="E24" s="12">
        <v>1.301</v>
      </c>
      <c r="F24" s="12">
        <v>2.301</v>
      </c>
      <c r="G24" s="12">
        <v>1.177</v>
      </c>
      <c r="H24" s="12">
        <v>1</v>
      </c>
      <c r="I24" s="12">
        <v>2</v>
      </c>
      <c r="J24" s="12">
        <v>0.65</v>
      </c>
      <c r="K24" s="12">
        <v>1.65</v>
      </c>
      <c r="L24" s="12">
        <v>0</v>
      </c>
      <c r="M24" s="12">
        <v>0.2</v>
      </c>
      <c r="N24" s="12">
        <v>0.1</v>
      </c>
      <c r="O24" s="12">
        <v>0.1</v>
      </c>
      <c r="P24" s="65">
        <v>0.1</v>
      </c>
      <c r="Q24" s="65">
        <v>0</v>
      </c>
      <c r="R24" s="29">
        <v>0.037</v>
      </c>
      <c r="S24" s="68"/>
      <c r="T24" s="25" t="s">
        <v>19</v>
      </c>
      <c r="U24" s="89"/>
      <c r="V24" s="14">
        <v>65.48935118143609</v>
      </c>
      <c r="W24" s="14">
        <v>47.27745794040429</v>
      </c>
      <c r="X24" s="14">
        <v>40.499</v>
      </c>
      <c r="Y24" s="14">
        <v>66.872</v>
      </c>
      <c r="Z24" s="14">
        <v>72.809</v>
      </c>
      <c r="AA24" s="14">
        <v>89.304</v>
      </c>
      <c r="AB24" s="14">
        <v>99.892</v>
      </c>
      <c r="AC24" s="14">
        <v>101.772</v>
      </c>
      <c r="AD24" s="14">
        <v>80.561</v>
      </c>
      <c r="AE24" s="14">
        <v>109.144</v>
      </c>
      <c r="AF24" s="14">
        <v>131.028</v>
      </c>
      <c r="AG24" s="14">
        <v>133.637</v>
      </c>
      <c r="AH24" s="14">
        <v>144.642</v>
      </c>
      <c r="AI24" s="14">
        <v>161.377</v>
      </c>
      <c r="AJ24" s="54">
        <v>142.564</v>
      </c>
      <c r="AK24" s="54">
        <v>84.714</v>
      </c>
      <c r="AL24" s="26">
        <v>61.187</v>
      </c>
    </row>
    <row r="25" spans="1:38" ht="14.25" customHeight="1">
      <c r="A25" s="23" t="s">
        <v>48</v>
      </c>
      <c r="B25" s="12">
        <v>37.09536087242441</v>
      </c>
      <c r="C25" s="12">
        <v>13.945806486335572</v>
      </c>
      <c r="D25" s="12">
        <v>12.433</v>
      </c>
      <c r="E25" s="12">
        <v>20.977</v>
      </c>
      <c r="F25" s="12">
        <v>19.081</v>
      </c>
      <c r="G25" s="12">
        <v>19.308</v>
      </c>
      <c r="H25" s="12">
        <v>19.182</v>
      </c>
      <c r="I25" s="12">
        <v>17.445</v>
      </c>
      <c r="J25" s="12">
        <v>15.155</v>
      </c>
      <c r="K25" s="12">
        <v>16.328</v>
      </c>
      <c r="L25" s="12">
        <v>29.497</v>
      </c>
      <c r="M25" s="12">
        <v>47.051</v>
      </c>
      <c r="N25" s="12">
        <v>79.666</v>
      </c>
      <c r="O25" s="12">
        <v>70.931</v>
      </c>
      <c r="P25" s="65">
        <v>74.084</v>
      </c>
      <c r="Q25" s="65">
        <v>75.125</v>
      </c>
      <c r="R25" s="29">
        <v>92.555</v>
      </c>
      <c r="S25" s="68"/>
      <c r="T25" s="25" t="s">
        <v>61</v>
      </c>
      <c r="U25" s="89"/>
      <c r="V25" s="14"/>
      <c r="W25" s="14">
        <v>5.409091902928656</v>
      </c>
      <c r="X25" s="14">
        <v>5.901</v>
      </c>
      <c r="Y25" s="14">
        <v>6.469</v>
      </c>
      <c r="Z25" s="14">
        <v>7.897</v>
      </c>
      <c r="AA25" s="14">
        <v>8.733</v>
      </c>
      <c r="AB25" s="14">
        <v>10.061</v>
      </c>
      <c r="AC25" s="14">
        <v>13.45</v>
      </c>
      <c r="AD25" s="14">
        <v>16.689</v>
      </c>
      <c r="AE25" s="14">
        <v>16.833</v>
      </c>
      <c r="AF25" s="14">
        <v>18.476</v>
      </c>
      <c r="AG25" s="14">
        <v>16.751</v>
      </c>
      <c r="AH25" s="14">
        <v>18.636</v>
      </c>
      <c r="AI25" s="14">
        <v>17.514</v>
      </c>
      <c r="AJ25" s="54">
        <v>19.503</v>
      </c>
      <c r="AK25" s="54">
        <v>19.91</v>
      </c>
      <c r="AL25" s="26">
        <v>21.923</v>
      </c>
    </row>
    <row r="26" spans="1:38" ht="14.25" customHeight="1">
      <c r="A26" s="23" t="s">
        <v>42</v>
      </c>
      <c r="B26" s="12">
        <v>22.098548033630856</v>
      </c>
      <c r="C26" s="12">
        <v>12.003404123631581</v>
      </c>
      <c r="D26" s="12">
        <v>2.283</v>
      </c>
      <c r="E26" s="12">
        <v>1.637</v>
      </c>
      <c r="F26" s="12">
        <v>1.481</v>
      </c>
      <c r="G26" s="12">
        <v>3.064</v>
      </c>
      <c r="H26" s="12">
        <v>3.005</v>
      </c>
      <c r="I26" s="12">
        <v>2.137</v>
      </c>
      <c r="J26" s="12">
        <v>2.443</v>
      </c>
      <c r="K26" s="12">
        <v>2.729</v>
      </c>
      <c r="L26" s="12">
        <v>3.466</v>
      </c>
      <c r="M26" s="12">
        <v>3.398</v>
      </c>
      <c r="N26" s="12">
        <v>3.99</v>
      </c>
      <c r="O26" s="12">
        <v>4.844</v>
      </c>
      <c r="P26" s="65">
        <v>5.189</v>
      </c>
      <c r="Q26" s="65">
        <v>5.574</v>
      </c>
      <c r="R26" s="29">
        <v>5.715</v>
      </c>
      <c r="S26" s="68"/>
      <c r="T26" s="25" t="s">
        <v>20</v>
      </c>
      <c r="U26" s="89"/>
      <c r="V26" s="14">
        <v>19.94927452137921</v>
      </c>
      <c r="W26" s="14">
        <v>14.325574824285663</v>
      </c>
      <c r="X26" s="14">
        <v>9.609</v>
      </c>
      <c r="Y26" s="14">
        <v>13.541</v>
      </c>
      <c r="Z26" s="14">
        <v>12.76</v>
      </c>
      <c r="AA26" s="14">
        <v>12.901</v>
      </c>
      <c r="AB26" s="14">
        <v>15.909</v>
      </c>
      <c r="AC26" s="14">
        <v>16.438</v>
      </c>
      <c r="AD26" s="14">
        <v>14.491</v>
      </c>
      <c r="AE26" s="14">
        <v>13.893</v>
      </c>
      <c r="AF26" s="14">
        <v>8.72</v>
      </c>
      <c r="AG26" s="14">
        <v>9.035</v>
      </c>
      <c r="AH26" s="14">
        <v>11.586</v>
      </c>
      <c r="AI26" s="14">
        <v>32.353</v>
      </c>
      <c r="AJ26" s="54">
        <v>31.662</v>
      </c>
      <c r="AK26" s="54">
        <v>16.627</v>
      </c>
      <c r="AL26" s="26">
        <v>9.38</v>
      </c>
    </row>
    <row r="27" spans="1:38" ht="14.25" customHeight="1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5"/>
      <c r="Q27" s="65"/>
      <c r="R27" s="29"/>
      <c r="S27" s="68"/>
      <c r="T27" s="25"/>
      <c r="U27" s="8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54"/>
      <c r="AK27" s="54"/>
      <c r="AL27" s="26"/>
    </row>
    <row r="28" spans="1:38" ht="14.25" customHeight="1">
      <c r="A28" s="19"/>
      <c r="B28" s="10">
        <v>18.736975947444638</v>
      </c>
      <c r="C28" s="12" t="s">
        <v>97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5"/>
      <c r="Q28" s="65"/>
      <c r="R28" s="29"/>
      <c r="S28" s="68"/>
      <c r="T28" s="19" t="s">
        <v>22</v>
      </c>
      <c r="U28" s="87"/>
      <c r="V28" s="10">
        <f aca="true" t="shared" si="16" ref="V28:AA28">V29+V39</f>
        <v>1329.3385703449678</v>
      </c>
      <c r="W28" s="10">
        <f t="shared" si="16"/>
        <v>1301.1675605854957</v>
      </c>
      <c r="X28" s="10">
        <f t="shared" si="16"/>
        <v>1335.162</v>
      </c>
      <c r="Y28" s="10">
        <f t="shared" si="16"/>
        <v>1482.267</v>
      </c>
      <c r="Z28" s="10">
        <f t="shared" si="16"/>
        <v>1603.1860000000001</v>
      </c>
      <c r="AA28" s="10">
        <f t="shared" si="16"/>
        <v>1763.6820000000002</v>
      </c>
      <c r="AB28" s="10">
        <f aca="true" t="shared" si="17" ref="AB28:AG28">AB29+AB39</f>
        <v>1999.6249999999998</v>
      </c>
      <c r="AC28" s="10">
        <f t="shared" si="17"/>
        <v>2136.3810000000003</v>
      </c>
      <c r="AD28" s="10">
        <f t="shared" si="17"/>
        <v>2277.904</v>
      </c>
      <c r="AE28" s="10">
        <f t="shared" si="17"/>
        <v>2444.0099999999998</v>
      </c>
      <c r="AF28" s="10">
        <f t="shared" si="17"/>
        <v>2587.152</v>
      </c>
      <c r="AG28" s="10">
        <f t="shared" si="17"/>
        <v>4169.349</v>
      </c>
      <c r="AH28" s="10">
        <f>AH29+AH39</f>
        <v>4458.496</v>
      </c>
      <c r="AI28" s="10">
        <f>AI29+AI39</f>
        <v>4851.665</v>
      </c>
      <c r="AJ28" s="51">
        <f>AJ29+AJ39</f>
        <v>5055.974</v>
      </c>
      <c r="AK28" s="51">
        <f>AK29+AK39</f>
        <v>5219.880999999999</v>
      </c>
      <c r="AL28" s="20">
        <f>AL29+AL39</f>
        <v>5271.771</v>
      </c>
    </row>
    <row r="29" spans="1:38" ht="14.25" customHeight="1">
      <c r="A29" s="30" t="s">
        <v>30</v>
      </c>
      <c r="B29" s="16">
        <f aca="true" t="shared" si="18" ref="B29:G29">B30+B31+B32</f>
        <v>79.83763137579406</v>
      </c>
      <c r="C29" s="16">
        <f t="shared" si="18"/>
        <v>60.37156076713876</v>
      </c>
      <c r="D29" s="16">
        <f t="shared" si="18"/>
        <v>49.82000000000001</v>
      </c>
      <c r="E29" s="16">
        <f t="shared" si="18"/>
        <v>77.26</v>
      </c>
      <c r="F29" s="16">
        <f t="shared" si="18"/>
        <v>82.621</v>
      </c>
      <c r="G29" s="16">
        <f t="shared" si="18"/>
        <v>101.45100000000001</v>
      </c>
      <c r="H29" s="16">
        <f aca="true" t="shared" si="19" ref="H29:M29">H30+H31+H32</f>
        <v>111.973</v>
      </c>
      <c r="I29" s="16">
        <f t="shared" si="19"/>
        <v>117.549</v>
      </c>
      <c r="J29" s="16">
        <f t="shared" si="19"/>
        <v>95.82400000000001</v>
      </c>
      <c r="K29" s="16">
        <f t="shared" si="19"/>
        <v>121.833</v>
      </c>
      <c r="L29" s="16">
        <f t="shared" si="19"/>
        <v>142.509</v>
      </c>
      <c r="M29" s="16">
        <f t="shared" si="19"/>
        <v>140.197</v>
      </c>
      <c r="N29" s="16">
        <f>N30+N31+N32</f>
        <v>152.848</v>
      </c>
      <c r="O29" s="16">
        <f>O30+O31+O32</f>
        <v>194.113</v>
      </c>
      <c r="P29" s="55">
        <f>P30+P31+P32</f>
        <v>176.826</v>
      </c>
      <c r="Q29" s="55">
        <f>Q30+Q31+Q32</f>
        <v>103.44600000000001</v>
      </c>
      <c r="R29" s="31">
        <f>R30+R31+R32</f>
        <v>75.358</v>
      </c>
      <c r="S29" s="68"/>
      <c r="T29" s="21" t="s">
        <v>24</v>
      </c>
      <c r="U29" s="88"/>
      <c r="V29" s="11">
        <f aca="true" t="shared" si="20" ref="V29:AA29">SUM(V30:V37)</f>
        <v>221.9275375533677</v>
      </c>
      <c r="W29" s="11">
        <f t="shared" si="20"/>
        <v>182.221695233386</v>
      </c>
      <c r="X29" s="11">
        <f t="shared" si="20"/>
        <v>227.10500000000002</v>
      </c>
      <c r="Y29" s="11">
        <f t="shared" si="20"/>
        <v>298.39000000000004</v>
      </c>
      <c r="Z29" s="11">
        <f t="shared" si="20"/>
        <v>355.67900000000003</v>
      </c>
      <c r="AA29" s="11">
        <f t="shared" si="20"/>
        <v>443.505</v>
      </c>
      <c r="AB29" s="11">
        <f aca="true" t="shared" si="21" ref="AB29:AG29">SUM(AB30:AB37)</f>
        <v>551.338</v>
      </c>
      <c r="AC29" s="11">
        <f t="shared" si="21"/>
        <v>627.481</v>
      </c>
      <c r="AD29" s="11">
        <f t="shared" si="21"/>
        <v>722.282</v>
      </c>
      <c r="AE29" s="11">
        <f t="shared" si="21"/>
        <v>794.668</v>
      </c>
      <c r="AF29" s="11">
        <f t="shared" si="21"/>
        <v>922.114</v>
      </c>
      <c r="AG29" s="11">
        <f t="shared" si="21"/>
        <v>2262.657</v>
      </c>
      <c r="AH29" s="11">
        <f>SUM(AH30:AH37)</f>
        <v>2393.549</v>
      </c>
      <c r="AI29" s="11">
        <f>SUM(AI30:AI37)</f>
        <v>2553.71</v>
      </c>
      <c r="AJ29" s="52">
        <f>SUM(AJ30:AJ37)</f>
        <v>2691.471</v>
      </c>
      <c r="AK29" s="52">
        <f>SUM(AK30:AK37)</f>
        <v>2742.2239999999997</v>
      </c>
      <c r="AL29" s="22">
        <f>SUM(AL30:AL37)</f>
        <v>2814.8459999999995</v>
      </c>
    </row>
    <row r="30" spans="1:38" ht="14.25" customHeight="1">
      <c r="A30" s="25" t="s">
        <v>19</v>
      </c>
      <c r="B30" s="13">
        <v>67.89242027471816</v>
      </c>
      <c r="C30" s="13">
        <v>47.58843741643162</v>
      </c>
      <c r="D30" s="13">
        <v>39.831</v>
      </c>
      <c r="E30" s="13">
        <v>62.689</v>
      </c>
      <c r="F30" s="13">
        <v>65.945</v>
      </c>
      <c r="G30" s="13">
        <f>84.916</f>
        <v>84.916</v>
      </c>
      <c r="H30" s="13">
        <v>88.938</v>
      </c>
      <c r="I30" s="13">
        <v>87.869</v>
      </c>
      <c r="J30" s="13">
        <v>65.37</v>
      </c>
      <c r="K30" s="13">
        <v>95.352</v>
      </c>
      <c r="L30" s="13">
        <v>118.506</v>
      </c>
      <c r="M30" s="13">
        <v>112.917</v>
      </c>
      <c r="N30" s="13">
        <v>119.396</v>
      </c>
      <c r="O30" s="13">
        <v>141.683</v>
      </c>
      <c r="P30" s="53">
        <v>136.005</v>
      </c>
      <c r="Q30" s="53">
        <v>78.677</v>
      </c>
      <c r="R30" s="24">
        <v>52.737</v>
      </c>
      <c r="S30" s="68"/>
      <c r="T30" s="23" t="s">
        <v>25</v>
      </c>
      <c r="U30" s="91"/>
      <c r="V30" s="12">
        <v>0.8528809750863224</v>
      </c>
      <c r="W30" s="12">
        <v>0.6968025793300402</v>
      </c>
      <c r="X30" s="12">
        <v>0.541</v>
      </c>
      <c r="Y30" s="12">
        <v>0.684</v>
      </c>
      <c r="Z30" s="12">
        <v>0.528</v>
      </c>
      <c r="AA30" s="12">
        <v>0.472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65">
        <v>0</v>
      </c>
      <c r="AK30" s="65">
        <v>0</v>
      </c>
      <c r="AL30" s="29">
        <v>0</v>
      </c>
    </row>
    <row r="31" spans="1:38" ht="14.25" customHeight="1">
      <c r="A31" s="25" t="s">
        <v>60</v>
      </c>
      <c r="B31" s="13"/>
      <c r="C31" s="13">
        <v>9.265809244617566</v>
      </c>
      <c r="D31" s="13">
        <v>3.414</v>
      </c>
      <c r="E31" s="13">
        <v>3.817</v>
      </c>
      <c r="F31" s="13">
        <v>4.769</v>
      </c>
      <c r="G31" s="13">
        <v>5.138</v>
      </c>
      <c r="H31" s="13">
        <v>6.252</v>
      </c>
      <c r="I31" s="13">
        <v>6.659</v>
      </c>
      <c r="J31" s="13">
        <v>8.147</v>
      </c>
      <c r="K31" s="13">
        <v>9.053</v>
      </c>
      <c r="L31" s="13">
        <v>10.838</v>
      </c>
      <c r="M31" s="13">
        <v>9.517</v>
      </c>
      <c r="N31" s="13">
        <v>10.861</v>
      </c>
      <c r="O31" s="13">
        <v>10.511</v>
      </c>
      <c r="P31" s="53">
        <v>11.307</v>
      </c>
      <c r="Q31" s="53">
        <v>10.406</v>
      </c>
      <c r="R31" s="24">
        <v>12.565</v>
      </c>
      <c r="S31" s="95"/>
      <c r="T31" s="23" t="s">
        <v>26</v>
      </c>
      <c r="U31" s="91"/>
      <c r="V31" s="12">
        <v>104.75753187581677</v>
      </c>
      <c r="W31" s="12">
        <v>111.90535056250452</v>
      </c>
      <c r="X31" s="12">
        <v>159.681</v>
      </c>
      <c r="Y31" s="12">
        <v>227.373</v>
      </c>
      <c r="Z31" s="12">
        <v>282.981</v>
      </c>
      <c r="AA31" s="12">
        <v>357.609</v>
      </c>
      <c r="AB31" s="12">
        <v>480.414</v>
      </c>
      <c r="AC31" s="12">
        <v>565.339</v>
      </c>
      <c r="AD31" s="12">
        <v>661.383</v>
      </c>
      <c r="AE31" s="12">
        <v>721.897</v>
      </c>
      <c r="AF31" s="12">
        <v>837.025</v>
      </c>
      <c r="AG31" s="12">
        <v>880.544</v>
      </c>
      <c r="AH31" s="12">
        <v>1020.68</v>
      </c>
      <c r="AI31" s="12">
        <v>1181.966</v>
      </c>
      <c r="AJ31" s="65">
        <v>1321.66</v>
      </c>
      <c r="AK31" s="65">
        <v>1377.417</v>
      </c>
      <c r="AL31" s="29">
        <v>1452.83</v>
      </c>
    </row>
    <row r="32" spans="1:38" ht="14.25" customHeight="1">
      <c r="A32" s="25" t="s">
        <v>32</v>
      </c>
      <c r="B32" s="13">
        <v>11.945211101075897</v>
      </c>
      <c r="C32" s="13">
        <v>3.51731410608958</v>
      </c>
      <c r="D32" s="13">
        <v>6.575</v>
      </c>
      <c r="E32" s="13">
        <v>10.754</v>
      </c>
      <c r="F32" s="13">
        <v>11.907</v>
      </c>
      <c r="G32" s="13">
        <v>11.397</v>
      </c>
      <c r="H32" s="13">
        <v>16.783</v>
      </c>
      <c r="I32" s="13">
        <v>23.021</v>
      </c>
      <c r="J32" s="13">
        <v>22.307</v>
      </c>
      <c r="K32" s="13">
        <v>17.428</v>
      </c>
      <c r="L32" s="13">
        <v>13.165</v>
      </c>
      <c r="M32" s="13">
        <v>17.763</v>
      </c>
      <c r="N32" s="13">
        <v>22.591</v>
      </c>
      <c r="O32" s="13">
        <v>41.919</v>
      </c>
      <c r="P32" s="53">
        <v>29.514</v>
      </c>
      <c r="Q32" s="53">
        <v>14.363</v>
      </c>
      <c r="R32" s="24">
        <v>10.056</v>
      </c>
      <c r="S32" s="68"/>
      <c r="T32" s="23" t="s">
        <v>27</v>
      </c>
      <c r="U32" s="91"/>
      <c r="V32" s="12">
        <v>70.38143339842206</v>
      </c>
      <c r="W32" s="12">
        <v>44.71545125661609</v>
      </c>
      <c r="X32" s="12">
        <v>45.93</v>
      </c>
      <c r="Y32" s="12">
        <v>50.544</v>
      </c>
      <c r="Z32" s="12">
        <v>47.106</v>
      </c>
      <c r="AA32" s="12">
        <v>42.178</v>
      </c>
      <c r="AB32" s="12">
        <v>31.323</v>
      </c>
      <c r="AC32" s="12">
        <v>29.334</v>
      </c>
      <c r="AD32" s="12">
        <v>33.494</v>
      </c>
      <c r="AE32" s="12">
        <v>50.149</v>
      </c>
      <c r="AF32" s="12">
        <v>59.659</v>
      </c>
      <c r="AG32" s="12">
        <v>1266.956</v>
      </c>
      <c r="AH32" s="12">
        <v>1260.404</v>
      </c>
      <c r="AI32" s="12">
        <v>1258.891</v>
      </c>
      <c r="AJ32" s="65">
        <v>1253.211</v>
      </c>
      <c r="AK32" s="65">
        <v>1247.724</v>
      </c>
      <c r="AL32" s="29">
        <v>1244.61</v>
      </c>
    </row>
    <row r="33" spans="1:38" ht="14.25" customHeight="1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4"/>
      <c r="Q33" s="54"/>
      <c r="R33" s="26"/>
      <c r="S33" s="95"/>
      <c r="T33" s="23" t="s">
        <v>28</v>
      </c>
      <c r="U33" s="91"/>
      <c r="V33" s="12">
        <v>0.44754807231408084</v>
      </c>
      <c r="W33" s="12">
        <v>1.095576152970283</v>
      </c>
      <c r="X33" s="12">
        <v>0.082</v>
      </c>
      <c r="Y33" s="12">
        <v>0.319</v>
      </c>
      <c r="Z33" s="12">
        <v>0.636</v>
      </c>
      <c r="AA33" s="12">
        <v>0.802</v>
      </c>
      <c r="AB33" s="12">
        <v>0.769</v>
      </c>
      <c r="AC33" s="12">
        <v>0.744</v>
      </c>
      <c r="AD33" s="12">
        <v>0.71</v>
      </c>
      <c r="AE33" s="12">
        <v>1.123</v>
      </c>
      <c r="AF33" s="12">
        <v>2.107</v>
      </c>
      <c r="AG33" s="12">
        <v>2.615</v>
      </c>
      <c r="AH33" s="12">
        <v>3.183</v>
      </c>
      <c r="AI33" s="12">
        <v>3.774</v>
      </c>
      <c r="AJ33" s="65">
        <v>4.194</v>
      </c>
      <c r="AK33" s="65">
        <v>4.536</v>
      </c>
      <c r="AL33" s="29">
        <v>4.898</v>
      </c>
    </row>
    <row r="34" spans="1:38" ht="14.25" customHeight="1">
      <c r="A34" s="19" t="s">
        <v>49</v>
      </c>
      <c r="B34" s="10">
        <f aca="true" t="shared" si="22" ref="B34:G34">B35+B42+B55+B61</f>
        <v>1050.001429597375</v>
      </c>
      <c r="C34" s="10">
        <f t="shared" si="22"/>
        <v>1093.1515558224137</v>
      </c>
      <c r="D34" s="10">
        <f t="shared" si="22"/>
        <v>1115.7259999999999</v>
      </c>
      <c r="E34" s="10">
        <f t="shared" si="22"/>
        <v>1208.855</v>
      </c>
      <c r="F34" s="10">
        <f t="shared" si="22"/>
        <v>1268.49</v>
      </c>
      <c r="G34" s="10">
        <f t="shared" si="22"/>
        <v>1360.481</v>
      </c>
      <c r="H34" s="10">
        <f aca="true" t="shared" si="23" ref="H34:M34">H35+H42+H55+H61</f>
        <v>1496.8990000000001</v>
      </c>
      <c r="I34" s="10">
        <f t="shared" si="23"/>
        <v>1469.2730000000001</v>
      </c>
      <c r="J34" s="10">
        <f t="shared" si="23"/>
        <v>1495.373</v>
      </c>
      <c r="K34" s="10">
        <f t="shared" si="23"/>
        <v>1597.254</v>
      </c>
      <c r="L34" s="10">
        <f t="shared" si="23"/>
        <v>1639.36</v>
      </c>
      <c r="M34" s="10">
        <f t="shared" si="23"/>
        <v>1827.04</v>
      </c>
      <c r="N34" s="10">
        <f>N35+N42+N55+N61</f>
        <v>1913.3419999999999</v>
      </c>
      <c r="O34" s="10">
        <f>O35+O42+O55+O61</f>
        <v>2025.068</v>
      </c>
      <c r="P34" s="51">
        <f>P35+P42+P55+P61</f>
        <v>2019.076</v>
      </c>
      <c r="Q34" s="51">
        <f>Q35+Q42+Q55+Q61</f>
        <v>2130.213</v>
      </c>
      <c r="R34" s="20">
        <f>R35+R42+R55+R61</f>
        <v>2198.417</v>
      </c>
      <c r="S34" s="68"/>
      <c r="T34" s="23" t="s">
        <v>29</v>
      </c>
      <c r="U34" s="91"/>
      <c r="V34" s="12">
        <v>0.4527618980343877</v>
      </c>
      <c r="W34" s="12">
        <v>0.9966816522109144</v>
      </c>
      <c r="X34" s="12">
        <v>0.912</v>
      </c>
      <c r="Y34" s="12">
        <v>1.144</v>
      </c>
      <c r="Z34" s="12">
        <v>1.748</v>
      </c>
      <c r="AA34" s="12">
        <v>1.71</v>
      </c>
      <c r="AB34" s="12">
        <v>1.959</v>
      </c>
      <c r="AC34" s="12">
        <v>1.469</v>
      </c>
      <c r="AD34" s="12">
        <v>2.074</v>
      </c>
      <c r="AE34" s="12">
        <v>1.286</v>
      </c>
      <c r="AF34" s="12">
        <v>1.389</v>
      </c>
      <c r="AG34" s="12">
        <v>0.724</v>
      </c>
      <c r="AH34" s="12">
        <v>0.655</v>
      </c>
      <c r="AI34" s="12">
        <v>0.78</v>
      </c>
      <c r="AJ34" s="65">
        <v>1.23</v>
      </c>
      <c r="AK34" s="65">
        <v>1.352</v>
      </c>
      <c r="AL34" s="29">
        <v>1.53</v>
      </c>
    </row>
    <row r="35" spans="1:38" ht="14.25" customHeight="1">
      <c r="A35" s="21" t="s">
        <v>34</v>
      </c>
      <c r="B35" s="11">
        <f aca="true" t="shared" si="24" ref="B35:G35">SUM(B36:B40)</f>
        <v>59.39237065927984</v>
      </c>
      <c r="C35" s="11">
        <f t="shared" si="24"/>
        <v>66.57416330711283</v>
      </c>
      <c r="D35" s="11">
        <f t="shared" si="24"/>
        <v>70.922</v>
      </c>
      <c r="E35" s="11">
        <f t="shared" si="24"/>
        <v>76.091</v>
      </c>
      <c r="F35" s="11">
        <f t="shared" si="24"/>
        <v>81.08500000000001</v>
      </c>
      <c r="G35" s="11">
        <f t="shared" si="24"/>
        <v>81.66700000000002</v>
      </c>
      <c r="H35" s="11">
        <f aca="true" t="shared" si="25" ref="H35:M35">SUM(H36:H40)</f>
        <v>85.28</v>
      </c>
      <c r="I35" s="11">
        <f t="shared" si="25"/>
        <v>91.80199999999999</v>
      </c>
      <c r="J35" s="11">
        <f t="shared" si="25"/>
        <v>94.492</v>
      </c>
      <c r="K35" s="11">
        <f t="shared" si="25"/>
        <v>105.39099999999999</v>
      </c>
      <c r="L35" s="11">
        <f t="shared" si="25"/>
        <v>103.23299999999999</v>
      </c>
      <c r="M35" s="11">
        <f t="shared" si="25"/>
        <v>113.43100000000001</v>
      </c>
      <c r="N35" s="11">
        <f>SUM(N36:N40)</f>
        <v>117.61699999999999</v>
      </c>
      <c r="O35" s="11">
        <f>SUM(O36:O40)</f>
        <v>119.04800000000003</v>
      </c>
      <c r="P35" s="52">
        <f>SUM(P36:P40)</f>
        <v>118.521</v>
      </c>
      <c r="Q35" s="52">
        <f>SUM(Q36:Q40)</f>
        <v>124.13400000000001</v>
      </c>
      <c r="R35" s="22">
        <f>SUM(R36:R40)</f>
        <v>124.195</v>
      </c>
      <c r="S35" s="68"/>
      <c r="T35" s="23" t="s">
        <v>31</v>
      </c>
      <c r="U35" s="91"/>
      <c r="V35" s="12">
        <v>0</v>
      </c>
      <c r="W35" s="12">
        <v>0.7269082181666506</v>
      </c>
      <c r="X35" s="12">
        <v>0.593</v>
      </c>
      <c r="Y35" s="12">
        <v>0.507</v>
      </c>
      <c r="Z35" s="12">
        <v>4.435</v>
      </c>
      <c r="AA35" s="12">
        <v>4.357</v>
      </c>
      <c r="AB35" s="12">
        <v>4.215</v>
      </c>
      <c r="AC35" s="12">
        <v>3.963</v>
      </c>
      <c r="AD35" s="12">
        <v>3.64</v>
      </c>
      <c r="AE35" s="12">
        <v>3.457</v>
      </c>
      <c r="AF35" s="12">
        <v>3.917</v>
      </c>
      <c r="AG35" s="12">
        <v>3.551</v>
      </c>
      <c r="AH35" s="12">
        <v>2.926</v>
      </c>
      <c r="AI35" s="12">
        <v>2.738</v>
      </c>
      <c r="AJ35" s="65">
        <v>2.553</v>
      </c>
      <c r="AK35" s="65">
        <v>2.364</v>
      </c>
      <c r="AL35" s="29">
        <v>2.182</v>
      </c>
    </row>
    <row r="36" spans="1:38" ht="14.25" customHeight="1">
      <c r="A36" s="23" t="s">
        <v>35</v>
      </c>
      <c r="B36" s="12">
        <v>54.49911112680864</v>
      </c>
      <c r="C36" s="12">
        <v>59.91661242606038</v>
      </c>
      <c r="D36" s="12">
        <v>63.904</v>
      </c>
      <c r="E36" s="12">
        <v>68.317</v>
      </c>
      <c r="F36" s="12">
        <v>72.623</v>
      </c>
      <c r="G36" s="12">
        <v>72.682</v>
      </c>
      <c r="H36" s="12">
        <v>76.357</v>
      </c>
      <c r="I36" s="12">
        <v>81.725</v>
      </c>
      <c r="J36" s="12">
        <v>83.13</v>
      </c>
      <c r="K36" s="12">
        <v>89.467</v>
      </c>
      <c r="L36" s="12">
        <v>87.383</v>
      </c>
      <c r="M36" s="12">
        <v>97.617</v>
      </c>
      <c r="N36" s="12">
        <v>97.755</v>
      </c>
      <c r="O36" s="12">
        <v>95.748</v>
      </c>
      <c r="P36" s="65">
        <v>93.949</v>
      </c>
      <c r="Q36" s="65">
        <v>98.275</v>
      </c>
      <c r="R36" s="29">
        <v>99.58</v>
      </c>
      <c r="S36" s="68"/>
      <c r="T36" s="23" t="s">
        <v>89</v>
      </c>
      <c r="U36" s="91"/>
      <c r="V36" s="12">
        <v>45.01583489327635</v>
      </c>
      <c r="W36" s="12">
        <v>21.96870695440257</v>
      </c>
      <c r="X36" s="12">
        <v>19.324</v>
      </c>
      <c r="Y36" s="12">
        <v>17.819</v>
      </c>
      <c r="Z36" s="12">
        <v>17.245</v>
      </c>
      <c r="AA36" s="12">
        <v>35.771</v>
      </c>
      <c r="AB36" s="12">
        <v>32.241</v>
      </c>
      <c r="AC36" s="12">
        <v>26.183</v>
      </c>
      <c r="AD36" s="12">
        <v>20.552</v>
      </c>
      <c r="AE36" s="12">
        <v>15.347</v>
      </c>
      <c r="AF36" s="12">
        <v>16.595</v>
      </c>
      <c r="AG36" s="12">
        <v>106.677</v>
      </c>
      <c r="AH36" s="12">
        <v>105.296</v>
      </c>
      <c r="AI36" s="12">
        <v>104.125</v>
      </c>
      <c r="AJ36" s="65">
        <v>108.623</v>
      </c>
      <c r="AK36" s="65">
        <v>108.831</v>
      </c>
      <c r="AL36" s="29">
        <v>108.004</v>
      </c>
    </row>
    <row r="37" spans="1:38" ht="14.25" customHeight="1">
      <c r="A37" s="23" t="s">
        <v>36</v>
      </c>
      <c r="B37" s="12">
        <v>2.062656730123971</v>
      </c>
      <c r="C37" s="12">
        <v>2.906287369254911</v>
      </c>
      <c r="D37" s="12">
        <v>3.448</v>
      </c>
      <c r="E37" s="12">
        <v>4.397</v>
      </c>
      <c r="F37" s="12">
        <v>5.152</v>
      </c>
      <c r="G37" s="12">
        <v>5.272</v>
      </c>
      <c r="H37" s="12">
        <v>5.603</v>
      </c>
      <c r="I37" s="12">
        <v>7.469</v>
      </c>
      <c r="J37" s="12">
        <v>8.869</v>
      </c>
      <c r="K37" s="12">
        <v>12.447</v>
      </c>
      <c r="L37" s="12">
        <v>12.331</v>
      </c>
      <c r="M37" s="12">
        <v>12.521</v>
      </c>
      <c r="N37" s="12">
        <v>15.951</v>
      </c>
      <c r="O37" s="12">
        <v>19.356</v>
      </c>
      <c r="P37" s="65">
        <v>20.364</v>
      </c>
      <c r="Q37" s="65">
        <v>19.37</v>
      </c>
      <c r="R37" s="29">
        <v>18.163</v>
      </c>
      <c r="S37" s="95"/>
      <c r="T37" s="23" t="s">
        <v>38</v>
      </c>
      <c r="U37" s="91"/>
      <c r="V37" s="12">
        <v>0.019546440417729044</v>
      </c>
      <c r="W37" s="12">
        <v>0.11621785718490411</v>
      </c>
      <c r="X37" s="12">
        <v>0.042</v>
      </c>
      <c r="Y37" s="12">
        <v>0</v>
      </c>
      <c r="Z37" s="12">
        <v>1</v>
      </c>
      <c r="AA37" s="12">
        <v>0.606</v>
      </c>
      <c r="AB37" s="12">
        <v>0.417</v>
      </c>
      <c r="AC37" s="12">
        <v>0.449</v>
      </c>
      <c r="AD37" s="12">
        <v>0.429</v>
      </c>
      <c r="AE37" s="12">
        <v>1.409</v>
      </c>
      <c r="AF37" s="12">
        <v>1.422</v>
      </c>
      <c r="AG37" s="12">
        <v>1.59</v>
      </c>
      <c r="AH37" s="12">
        <v>0.405</v>
      </c>
      <c r="AI37" s="12">
        <v>1.436</v>
      </c>
      <c r="AJ37" s="65">
        <v>0</v>
      </c>
      <c r="AK37" s="65">
        <v>0</v>
      </c>
      <c r="AL37" s="29">
        <v>0.792</v>
      </c>
    </row>
    <row r="38" spans="1:38" ht="14.25" customHeight="1">
      <c r="A38" s="23" t="s">
        <v>50</v>
      </c>
      <c r="B38" s="12">
        <v>1.0177051430186033</v>
      </c>
      <c r="C38" s="12">
        <v>1.4736626116557596</v>
      </c>
      <c r="D38" s="12">
        <v>1.45</v>
      </c>
      <c r="E38" s="12">
        <v>1.392</v>
      </c>
      <c r="F38" s="12">
        <v>1.318</v>
      </c>
      <c r="G38" s="12">
        <v>1.833</v>
      </c>
      <c r="H38" s="12">
        <v>1.715</v>
      </c>
      <c r="I38" s="12">
        <v>1.637</v>
      </c>
      <c r="J38" s="12">
        <v>1.262</v>
      </c>
      <c r="K38" s="12">
        <v>1.124</v>
      </c>
      <c r="L38" s="12">
        <v>1.31</v>
      </c>
      <c r="M38" s="12">
        <v>1.04</v>
      </c>
      <c r="N38" s="12">
        <v>1.039</v>
      </c>
      <c r="O38" s="12">
        <v>1.138</v>
      </c>
      <c r="P38" s="65">
        <v>1.164</v>
      </c>
      <c r="Q38" s="65">
        <v>3.616</v>
      </c>
      <c r="R38" s="29">
        <v>2.982</v>
      </c>
      <c r="S38" s="68"/>
      <c r="T38" s="25"/>
      <c r="U38" s="89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54"/>
      <c r="AK38" s="54"/>
      <c r="AL38" s="26"/>
    </row>
    <row r="39" spans="1:38" ht="14.25" customHeight="1">
      <c r="A39" s="23" t="s">
        <v>37</v>
      </c>
      <c r="B39" s="12">
        <v>1.0642931986484419</v>
      </c>
      <c r="C39" s="12">
        <v>1.6040082546634309</v>
      </c>
      <c r="D39" s="12">
        <v>1.544</v>
      </c>
      <c r="E39" s="12">
        <v>1.763</v>
      </c>
      <c r="F39" s="12">
        <v>1.772</v>
      </c>
      <c r="G39" s="12">
        <v>1.683</v>
      </c>
      <c r="H39" s="12">
        <v>1.449</v>
      </c>
      <c r="I39" s="12">
        <v>0.9</v>
      </c>
      <c r="J39" s="12">
        <v>1.096</v>
      </c>
      <c r="K39" s="12">
        <v>1.729</v>
      </c>
      <c r="L39" s="12">
        <v>2.002</v>
      </c>
      <c r="M39" s="12">
        <v>2.081</v>
      </c>
      <c r="N39" s="12">
        <v>2.782</v>
      </c>
      <c r="O39" s="12">
        <v>2.745</v>
      </c>
      <c r="P39" s="65">
        <v>3.005</v>
      </c>
      <c r="Q39" s="65">
        <v>2.858</v>
      </c>
      <c r="R39" s="29">
        <v>3.453</v>
      </c>
      <c r="S39" s="68"/>
      <c r="T39" s="21" t="s">
        <v>33</v>
      </c>
      <c r="U39" s="88"/>
      <c r="V39" s="11">
        <f aca="true" t="shared" si="26" ref="V39:AA39">SUM(V40:V47)</f>
        <v>1107.4110327916</v>
      </c>
      <c r="W39" s="11">
        <f t="shared" si="26"/>
        <v>1118.9458653521096</v>
      </c>
      <c r="X39" s="11">
        <f t="shared" si="26"/>
        <v>1108.057</v>
      </c>
      <c r="Y39" s="11">
        <f t="shared" si="26"/>
        <v>1183.877</v>
      </c>
      <c r="Z39" s="11">
        <f t="shared" si="26"/>
        <v>1247.507</v>
      </c>
      <c r="AA39" s="11">
        <f t="shared" si="26"/>
        <v>1320.1770000000001</v>
      </c>
      <c r="AB39" s="11">
        <f aca="true" t="shared" si="27" ref="AB39:AG39">SUM(AB40:AB47)</f>
        <v>1448.2869999999998</v>
      </c>
      <c r="AC39" s="11">
        <f t="shared" si="27"/>
        <v>1508.9</v>
      </c>
      <c r="AD39" s="11">
        <f t="shared" si="27"/>
        <v>1555.6219999999998</v>
      </c>
      <c r="AE39" s="11">
        <f t="shared" si="27"/>
        <v>1649.3419999999999</v>
      </c>
      <c r="AF39" s="11">
        <f t="shared" si="27"/>
        <v>1665.038</v>
      </c>
      <c r="AG39" s="11">
        <f t="shared" si="27"/>
        <v>1906.692</v>
      </c>
      <c r="AH39" s="11">
        <f>SUM(AH40:AH47)</f>
        <v>2064.947</v>
      </c>
      <c r="AI39" s="11">
        <f>SUM(AI40:AI47)</f>
        <v>2297.955</v>
      </c>
      <c r="AJ39" s="52">
        <f>SUM(AJ40:AJ47)</f>
        <v>2364.503</v>
      </c>
      <c r="AK39" s="52">
        <f>SUM(AK40:AK47)</f>
        <v>2477.657</v>
      </c>
      <c r="AL39" s="22">
        <f>SUM(AL40:AL47)</f>
        <v>2456.925</v>
      </c>
    </row>
    <row r="40" spans="1:38" ht="14.25" customHeight="1">
      <c r="A40" s="23" t="s">
        <v>10</v>
      </c>
      <c r="B40" s="12">
        <v>0.7486044606801855</v>
      </c>
      <c r="C40" s="12">
        <v>0.6735926454783516</v>
      </c>
      <c r="D40" s="12">
        <v>0.576</v>
      </c>
      <c r="E40" s="12">
        <v>0.222</v>
      </c>
      <c r="F40" s="12">
        <v>0.22</v>
      </c>
      <c r="G40" s="12">
        <v>0.197</v>
      </c>
      <c r="H40" s="12">
        <v>0.156</v>
      </c>
      <c r="I40" s="12">
        <v>0.071</v>
      </c>
      <c r="J40" s="12">
        <v>0.135</v>
      </c>
      <c r="K40" s="12">
        <v>0.624</v>
      </c>
      <c r="L40" s="12">
        <v>0.207</v>
      </c>
      <c r="M40" s="12">
        <v>0.172</v>
      </c>
      <c r="N40" s="12">
        <v>0.09</v>
      </c>
      <c r="O40" s="12">
        <v>0.061</v>
      </c>
      <c r="P40" s="65">
        <v>0.039</v>
      </c>
      <c r="Q40" s="65">
        <v>0.015</v>
      </c>
      <c r="R40" s="29">
        <v>0.017</v>
      </c>
      <c r="S40" s="68"/>
      <c r="T40" s="23" t="s">
        <v>25</v>
      </c>
      <c r="U40" s="91"/>
      <c r="V40" s="12">
        <v>4.3188977636051415</v>
      </c>
      <c r="W40" s="12">
        <v>0.15607839575628224</v>
      </c>
      <c r="X40" s="12">
        <v>0.156</v>
      </c>
      <c r="Y40" s="12">
        <v>1.006</v>
      </c>
      <c r="Z40" s="12">
        <v>3.846</v>
      </c>
      <c r="AA40" s="12">
        <v>7.946</v>
      </c>
      <c r="AB40" s="12">
        <v>14.412</v>
      </c>
      <c r="AC40" s="12">
        <v>7.8</v>
      </c>
      <c r="AD40" s="12">
        <v>7.9</v>
      </c>
      <c r="AE40" s="12">
        <v>4.2</v>
      </c>
      <c r="AF40" s="12">
        <v>0</v>
      </c>
      <c r="AG40" s="12">
        <v>34.946</v>
      </c>
      <c r="AH40" s="12">
        <v>0.3</v>
      </c>
      <c r="AI40" s="12">
        <v>40</v>
      </c>
      <c r="AJ40" s="65">
        <v>40</v>
      </c>
      <c r="AK40" s="65">
        <v>75</v>
      </c>
      <c r="AL40" s="29">
        <v>50</v>
      </c>
    </row>
    <row r="41" spans="1:38" ht="14.25" customHeight="1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4"/>
      <c r="Q41" s="54"/>
      <c r="R41" s="26"/>
      <c r="S41" s="68"/>
      <c r="T41" s="23" t="s">
        <v>26</v>
      </c>
      <c r="U41" s="91"/>
      <c r="V41" s="12">
        <v>49.486942730329154</v>
      </c>
      <c r="W41" s="12">
        <v>49.04242204069139</v>
      </c>
      <c r="X41" s="12">
        <v>71.636</v>
      </c>
      <c r="Y41" s="12">
        <v>77.61</v>
      </c>
      <c r="Z41" s="12">
        <v>64.656</v>
      </c>
      <c r="AA41" s="12">
        <v>70.952</v>
      </c>
      <c r="AB41" s="12">
        <v>90.784</v>
      </c>
      <c r="AC41" s="12">
        <v>98.922</v>
      </c>
      <c r="AD41" s="12">
        <v>112.652</v>
      </c>
      <c r="AE41" s="12">
        <v>136.913</v>
      </c>
      <c r="AF41" s="12">
        <v>131.614</v>
      </c>
      <c r="AG41" s="12">
        <v>142.178</v>
      </c>
      <c r="AH41" s="12">
        <v>170.587</v>
      </c>
      <c r="AI41" s="12">
        <v>212.404</v>
      </c>
      <c r="AJ41" s="65">
        <v>247.048</v>
      </c>
      <c r="AK41" s="65">
        <v>241.881</v>
      </c>
      <c r="AL41" s="29">
        <v>253.989</v>
      </c>
    </row>
    <row r="42" spans="1:38" ht="14.25" customHeight="1">
      <c r="A42" s="21" t="s">
        <v>39</v>
      </c>
      <c r="B42" s="11">
        <f aca="true" t="shared" si="28" ref="B42:G42">B43+B49</f>
        <v>539.4395641914449</v>
      </c>
      <c r="C42" s="11">
        <f t="shared" si="28"/>
        <v>536.5502638027626</v>
      </c>
      <c r="D42" s="11">
        <f t="shared" si="28"/>
        <v>627.866</v>
      </c>
      <c r="E42" s="11">
        <f t="shared" si="28"/>
        <v>612.775</v>
      </c>
      <c r="F42" s="11">
        <f t="shared" si="28"/>
        <v>643.446</v>
      </c>
      <c r="G42" s="11">
        <f t="shared" si="28"/>
        <v>694.925</v>
      </c>
      <c r="H42" s="11">
        <f aca="true" t="shared" si="29" ref="H42:M42">H43+H49</f>
        <v>763.559</v>
      </c>
      <c r="I42" s="11">
        <f t="shared" si="29"/>
        <v>780.494</v>
      </c>
      <c r="J42" s="11">
        <f t="shared" si="29"/>
        <v>825.669</v>
      </c>
      <c r="K42" s="11">
        <f t="shared" si="29"/>
        <v>859.513</v>
      </c>
      <c r="L42" s="11">
        <f t="shared" si="29"/>
        <v>863.266</v>
      </c>
      <c r="M42" s="11">
        <f t="shared" si="29"/>
        <v>963.854</v>
      </c>
      <c r="N42" s="11">
        <f>N43+N49</f>
        <v>1050.595</v>
      </c>
      <c r="O42" s="11">
        <f>O43+O49</f>
        <v>1078.795</v>
      </c>
      <c r="P42" s="52">
        <f>P43+P49</f>
        <v>1089.2099999999998</v>
      </c>
      <c r="Q42" s="52">
        <f>Q43+Q49</f>
        <v>1043.106</v>
      </c>
      <c r="R42" s="22">
        <f>R43+R49</f>
        <v>1114.351</v>
      </c>
      <c r="S42" s="68"/>
      <c r="T42" s="23" t="s">
        <v>27</v>
      </c>
      <c r="U42" s="91"/>
      <c r="V42" s="12">
        <v>86.77639246989014</v>
      </c>
      <c r="W42" s="12">
        <v>50.56536371480037</v>
      </c>
      <c r="X42" s="12">
        <v>13.161</v>
      </c>
      <c r="Y42" s="12">
        <v>14.292</v>
      </c>
      <c r="Z42" s="12">
        <v>12.405</v>
      </c>
      <c r="AA42" s="12">
        <v>10.79</v>
      </c>
      <c r="AB42" s="12">
        <v>8.19</v>
      </c>
      <c r="AC42" s="12">
        <v>5.776</v>
      </c>
      <c r="AD42" s="12">
        <v>4.66</v>
      </c>
      <c r="AE42" s="12">
        <v>6.451</v>
      </c>
      <c r="AF42" s="12">
        <v>5.228</v>
      </c>
      <c r="AG42" s="12">
        <v>4.253</v>
      </c>
      <c r="AH42" s="12">
        <v>7.929</v>
      </c>
      <c r="AI42" s="12">
        <v>6.206</v>
      </c>
      <c r="AJ42" s="65">
        <v>5.206</v>
      </c>
      <c r="AK42" s="65">
        <v>4.742</v>
      </c>
      <c r="AL42" s="29">
        <v>5.55</v>
      </c>
    </row>
    <row r="43" spans="1:38" ht="14.25" customHeight="1">
      <c r="A43" s="21" t="s">
        <v>62</v>
      </c>
      <c r="B43" s="14"/>
      <c r="C43" s="14">
        <f aca="true" t="shared" si="30" ref="C43:H43">SUM(C44:C47)</f>
        <v>46.951341550995416</v>
      </c>
      <c r="D43" s="14">
        <f t="shared" si="30"/>
        <v>37.318999999999996</v>
      </c>
      <c r="E43" s="14">
        <f t="shared" si="30"/>
        <v>32.178</v>
      </c>
      <c r="F43" s="14">
        <f t="shared" si="30"/>
        <v>49.862</v>
      </c>
      <c r="G43" s="14">
        <f t="shared" si="30"/>
        <v>60.03</v>
      </c>
      <c r="H43" s="14">
        <f t="shared" si="30"/>
        <v>50.93</v>
      </c>
      <c r="I43" s="14">
        <f aca="true" t="shared" si="31" ref="I43:N43">SUM(I44:I47)</f>
        <v>47.754</v>
      </c>
      <c r="J43" s="14">
        <f t="shared" si="31"/>
        <v>36.791000000000004</v>
      </c>
      <c r="K43" s="14">
        <f t="shared" si="31"/>
        <v>44.094</v>
      </c>
      <c r="L43" s="14">
        <f t="shared" si="31"/>
        <v>35.998000000000005</v>
      </c>
      <c r="M43" s="14">
        <f t="shared" si="31"/>
        <v>29.339</v>
      </c>
      <c r="N43" s="14">
        <f t="shared" si="31"/>
        <v>27.238999999999997</v>
      </c>
      <c r="O43" s="14">
        <f>SUM(O44:O47)</f>
        <v>31.765</v>
      </c>
      <c r="P43" s="54">
        <f>SUM(P44:P47)</f>
        <v>33.763999999999996</v>
      </c>
      <c r="Q43" s="54">
        <f>SUM(Q44:Q47)</f>
        <v>38.43600000000001</v>
      </c>
      <c r="R43" s="26">
        <f>SUM(R44:R47)</f>
        <v>61.942</v>
      </c>
      <c r="S43" s="68"/>
      <c r="T43" s="23" t="s">
        <v>28</v>
      </c>
      <c r="U43" s="91"/>
      <c r="V43" s="12">
        <v>0.7555001656651076</v>
      </c>
      <c r="W43" s="12">
        <v>0.9442070191549229</v>
      </c>
      <c r="X43" s="12">
        <v>1.66</v>
      </c>
      <c r="Y43" s="12">
        <v>2.403</v>
      </c>
      <c r="Z43" s="12">
        <v>2.795</v>
      </c>
      <c r="AA43" s="12">
        <v>3.246</v>
      </c>
      <c r="AB43" s="12">
        <v>3.311</v>
      </c>
      <c r="AC43" s="12">
        <v>3.303</v>
      </c>
      <c r="AD43" s="12">
        <v>3.335</v>
      </c>
      <c r="AE43" s="12">
        <v>10.184</v>
      </c>
      <c r="AF43" s="12">
        <v>19.94</v>
      </c>
      <c r="AG43" s="12">
        <v>25.077</v>
      </c>
      <c r="AH43" s="12">
        <v>35.517</v>
      </c>
      <c r="AI43" s="12">
        <v>42.696</v>
      </c>
      <c r="AJ43" s="65">
        <v>42.937</v>
      </c>
      <c r="AK43" s="65">
        <v>47.826</v>
      </c>
      <c r="AL43" s="29">
        <v>34.825</v>
      </c>
    </row>
    <row r="44" spans="1:38" ht="14.25" customHeight="1">
      <c r="A44" s="23" t="s">
        <v>63</v>
      </c>
      <c r="B44" s="12"/>
      <c r="C44" s="12">
        <v>3.9250016398322827</v>
      </c>
      <c r="D44" s="12">
        <v>0.47</v>
      </c>
      <c r="E44" s="12">
        <v>0.408</v>
      </c>
      <c r="F44" s="12">
        <v>2.277</v>
      </c>
      <c r="G44" s="12">
        <v>1.105</v>
      </c>
      <c r="H44" s="12">
        <v>0.482</v>
      </c>
      <c r="I44" s="12">
        <v>0.442</v>
      </c>
      <c r="J44" s="12">
        <v>0.047</v>
      </c>
      <c r="K44" s="12">
        <v>7.711</v>
      </c>
      <c r="L44" s="12">
        <v>6.772</v>
      </c>
      <c r="M44" s="12">
        <v>4.294</v>
      </c>
      <c r="N44" s="12">
        <v>4.83</v>
      </c>
      <c r="O44" s="12">
        <v>4.367</v>
      </c>
      <c r="P44" s="65">
        <v>5.449</v>
      </c>
      <c r="Q44" s="65">
        <v>8.227</v>
      </c>
      <c r="R44" s="29">
        <v>9.51</v>
      </c>
      <c r="S44" s="68"/>
      <c r="T44" s="23" t="s">
        <v>29</v>
      </c>
      <c r="U44" s="91"/>
      <c r="V44" s="12">
        <v>73.91674361264302</v>
      </c>
      <c r="W44" s="12">
        <v>72.04632568246456</v>
      </c>
      <c r="X44" s="12">
        <v>77.348</v>
      </c>
      <c r="Y44" s="12">
        <v>80.464</v>
      </c>
      <c r="Z44" s="12">
        <v>80.165</v>
      </c>
      <c r="AA44" s="12">
        <v>34.668</v>
      </c>
      <c r="AB44" s="12">
        <v>32.935</v>
      </c>
      <c r="AC44" s="12">
        <v>41.299</v>
      </c>
      <c r="AD44" s="12">
        <v>32.111</v>
      </c>
      <c r="AE44" s="12">
        <v>38.34</v>
      </c>
      <c r="AF44" s="12">
        <v>40.364</v>
      </c>
      <c r="AG44" s="12">
        <v>54.975</v>
      </c>
      <c r="AH44" s="12">
        <v>48.948</v>
      </c>
      <c r="AI44" s="12">
        <v>50.391</v>
      </c>
      <c r="AJ44" s="65">
        <v>52.745</v>
      </c>
      <c r="AK44" s="65">
        <v>60.131</v>
      </c>
      <c r="AL44" s="29">
        <v>57.962</v>
      </c>
    </row>
    <row r="45" spans="1:38" ht="14.25" customHeight="1">
      <c r="A45" s="23" t="s">
        <v>64</v>
      </c>
      <c r="B45" s="12"/>
      <c r="C45" s="12">
        <v>4.655273616528164</v>
      </c>
      <c r="D45" s="12">
        <v>6.794</v>
      </c>
      <c r="E45" s="12">
        <v>4.777</v>
      </c>
      <c r="F45" s="12">
        <v>17.821</v>
      </c>
      <c r="G45" s="12">
        <v>17.393</v>
      </c>
      <c r="H45" s="12">
        <v>16.09</v>
      </c>
      <c r="I45" s="12">
        <v>22.353</v>
      </c>
      <c r="J45" s="12">
        <v>21.181</v>
      </c>
      <c r="K45" s="12">
        <v>25.731</v>
      </c>
      <c r="L45" s="12">
        <v>21.626</v>
      </c>
      <c r="M45" s="12">
        <v>17.862</v>
      </c>
      <c r="N45" s="12">
        <v>14.32</v>
      </c>
      <c r="O45" s="12">
        <v>9.801</v>
      </c>
      <c r="P45" s="65">
        <v>8.235</v>
      </c>
      <c r="Q45" s="65">
        <v>10.238</v>
      </c>
      <c r="R45" s="29">
        <v>31.708</v>
      </c>
      <c r="S45" s="68"/>
      <c r="T45" s="23" t="s">
        <v>31</v>
      </c>
      <c r="U45" s="91"/>
      <c r="V45" s="12">
        <v>252.57739587905942</v>
      </c>
      <c r="W45" s="12">
        <v>277.77463826981716</v>
      </c>
      <c r="X45" s="12">
        <v>257.196</v>
      </c>
      <c r="Y45" s="12">
        <v>289.687</v>
      </c>
      <c r="Z45" s="12">
        <v>328.505</v>
      </c>
      <c r="AA45" s="12">
        <v>368.199</v>
      </c>
      <c r="AB45" s="12">
        <v>406.39</v>
      </c>
      <c r="AC45" s="12">
        <v>420.235</v>
      </c>
      <c r="AD45" s="12">
        <v>421.491</v>
      </c>
      <c r="AE45" s="12">
        <v>429.977</v>
      </c>
      <c r="AF45" s="12">
        <v>437.781</v>
      </c>
      <c r="AG45" s="12">
        <v>532.446</v>
      </c>
      <c r="AH45" s="12">
        <v>565.657</v>
      </c>
      <c r="AI45" s="12">
        <v>588.951</v>
      </c>
      <c r="AJ45" s="65">
        <v>584.917</v>
      </c>
      <c r="AK45" s="65">
        <v>591.256</v>
      </c>
      <c r="AL45" s="29">
        <v>630.48</v>
      </c>
    </row>
    <row r="46" spans="1:38" ht="14.25" customHeight="1">
      <c r="A46" s="23" t="s">
        <v>65</v>
      </c>
      <c r="B46" s="12"/>
      <c r="C46" s="12">
        <v>37.07316006613149</v>
      </c>
      <c r="D46" s="12">
        <v>29.964</v>
      </c>
      <c r="E46" s="12">
        <v>24.941</v>
      </c>
      <c r="F46" s="12">
        <v>27.8</v>
      </c>
      <c r="G46" s="12">
        <v>39.243</v>
      </c>
      <c r="H46" s="12">
        <v>32.338</v>
      </c>
      <c r="I46" s="12">
        <v>22.895</v>
      </c>
      <c r="J46" s="12">
        <v>14.776</v>
      </c>
      <c r="K46" s="12">
        <v>10.535</v>
      </c>
      <c r="L46" s="12">
        <v>7.259</v>
      </c>
      <c r="M46" s="12">
        <v>5.311</v>
      </c>
      <c r="N46" s="12">
        <v>7.532</v>
      </c>
      <c r="O46" s="12">
        <v>17.116</v>
      </c>
      <c r="P46" s="65">
        <v>19.725</v>
      </c>
      <c r="Q46" s="65">
        <v>18.917</v>
      </c>
      <c r="R46" s="29">
        <v>20.327</v>
      </c>
      <c r="S46" s="68"/>
      <c r="T46" s="23" t="s">
        <v>89</v>
      </c>
      <c r="U46" s="91"/>
      <c r="V46" s="12">
        <v>51.88917088397892</v>
      </c>
      <c r="W46" s="12">
        <v>128.93235986161497</v>
      </c>
      <c r="X46" s="12">
        <v>124.826</v>
      </c>
      <c r="Y46" s="12">
        <v>130.35</v>
      </c>
      <c r="Z46" s="12">
        <v>138.137</v>
      </c>
      <c r="AA46" s="12">
        <v>179.483</v>
      </c>
      <c r="AB46" s="12">
        <v>184.726</v>
      </c>
      <c r="AC46" s="12">
        <v>183.248</v>
      </c>
      <c r="AD46" s="12">
        <v>183.255</v>
      </c>
      <c r="AE46" s="12">
        <v>187.892</v>
      </c>
      <c r="AF46" s="12">
        <v>173.715</v>
      </c>
      <c r="AG46" s="12">
        <v>185.243</v>
      </c>
      <c r="AH46" s="12">
        <v>194.829</v>
      </c>
      <c r="AI46" s="12">
        <v>182.361</v>
      </c>
      <c r="AJ46" s="65">
        <v>202.517</v>
      </c>
      <c r="AK46" s="65">
        <v>219.856</v>
      </c>
      <c r="AL46" s="29">
        <v>205.33</v>
      </c>
    </row>
    <row r="47" spans="1:38" ht="14.25" customHeight="1">
      <c r="A47" s="23" t="s">
        <v>66</v>
      </c>
      <c r="B47" s="13"/>
      <c r="C47" s="13">
        <v>1.2979062285034806</v>
      </c>
      <c r="D47" s="13">
        <v>0.091</v>
      </c>
      <c r="E47" s="13">
        <v>2.052</v>
      </c>
      <c r="F47" s="13">
        <v>1.964</v>
      </c>
      <c r="G47" s="13">
        <v>2.289</v>
      </c>
      <c r="H47" s="13">
        <v>2.02</v>
      </c>
      <c r="I47" s="13">
        <v>2.064</v>
      </c>
      <c r="J47" s="13">
        <v>0.787</v>
      </c>
      <c r="K47" s="13">
        <v>0.117</v>
      </c>
      <c r="L47" s="13">
        <v>0.341</v>
      </c>
      <c r="M47" s="13">
        <v>1.872</v>
      </c>
      <c r="N47" s="13">
        <v>0.557</v>
      </c>
      <c r="O47" s="13">
        <v>0.481</v>
      </c>
      <c r="P47" s="53">
        <v>0.355</v>
      </c>
      <c r="Q47" s="53">
        <v>1.054</v>
      </c>
      <c r="R47" s="24">
        <v>0.397</v>
      </c>
      <c r="S47" s="68"/>
      <c r="T47" s="23" t="s">
        <v>38</v>
      </c>
      <c r="U47" s="91"/>
      <c r="V47" s="12">
        <v>587.6899892864291</v>
      </c>
      <c r="W47" s="12">
        <v>539.4844703678101</v>
      </c>
      <c r="X47" s="12">
        <v>562.074</v>
      </c>
      <c r="Y47" s="12">
        <v>588.065</v>
      </c>
      <c r="Z47" s="12">
        <v>616.998</v>
      </c>
      <c r="AA47" s="12">
        <v>644.893</v>
      </c>
      <c r="AB47" s="12">
        <v>707.539</v>
      </c>
      <c r="AC47" s="12">
        <v>748.317</v>
      </c>
      <c r="AD47" s="12">
        <v>790.218</v>
      </c>
      <c r="AE47" s="12">
        <v>835.385</v>
      </c>
      <c r="AF47" s="12">
        <v>856.396</v>
      </c>
      <c r="AG47" s="12">
        <v>927.574</v>
      </c>
      <c r="AH47" s="12">
        <v>1041.18</v>
      </c>
      <c r="AI47" s="12">
        <v>1174.946</v>
      </c>
      <c r="AJ47" s="65">
        <v>1189.133</v>
      </c>
      <c r="AK47" s="65">
        <v>1236.965</v>
      </c>
      <c r="AL47" s="29">
        <v>1218.789</v>
      </c>
    </row>
    <row r="48" spans="1:38" ht="14.25" customHeight="1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4"/>
      <c r="Q48" s="54"/>
      <c r="R48" s="26"/>
      <c r="S48" s="96"/>
      <c r="T48" s="25"/>
      <c r="U48" s="89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54"/>
      <c r="AK48" s="54"/>
      <c r="AL48" s="26"/>
    </row>
    <row r="49" spans="1:38" ht="14.25" customHeight="1">
      <c r="A49" s="21" t="s">
        <v>67</v>
      </c>
      <c r="B49" s="11">
        <f aca="true" t="shared" si="32" ref="B49:G49">SUM(B50:B53)</f>
        <v>539.4395641914449</v>
      </c>
      <c r="C49" s="11">
        <f t="shared" si="32"/>
        <v>489.5989222517672</v>
      </c>
      <c r="D49" s="11">
        <f t="shared" si="32"/>
        <v>590.547</v>
      </c>
      <c r="E49" s="11">
        <f t="shared" si="32"/>
        <v>580.597</v>
      </c>
      <c r="F49" s="11">
        <f t="shared" si="32"/>
        <v>593.5840000000001</v>
      </c>
      <c r="G49" s="11">
        <f t="shared" si="32"/>
        <v>634.895</v>
      </c>
      <c r="H49" s="11">
        <f aca="true" t="shared" si="33" ref="H49:M49">SUM(H50:H53)</f>
        <v>712.629</v>
      </c>
      <c r="I49" s="11">
        <f t="shared" si="33"/>
        <v>732.74</v>
      </c>
      <c r="J49" s="11">
        <f t="shared" si="33"/>
        <v>788.8779999999999</v>
      </c>
      <c r="K49" s="11">
        <f t="shared" si="33"/>
        <v>815.419</v>
      </c>
      <c r="L49" s="11">
        <f t="shared" si="33"/>
        <v>827.2679999999999</v>
      </c>
      <c r="M49" s="11">
        <f t="shared" si="33"/>
        <v>934.5150000000001</v>
      </c>
      <c r="N49" s="11">
        <f>SUM(N50:N53)</f>
        <v>1023.356</v>
      </c>
      <c r="O49" s="11">
        <f>SUM(O50:O53)</f>
        <v>1047.03</v>
      </c>
      <c r="P49" s="52">
        <f>SUM(P50:P53)</f>
        <v>1055.446</v>
      </c>
      <c r="Q49" s="52">
        <f>SUM(Q50:Q53)</f>
        <v>1004.67</v>
      </c>
      <c r="R49" s="22">
        <f>SUM(R50:R53)</f>
        <v>1052.409</v>
      </c>
      <c r="S49" s="68"/>
      <c r="T49" s="19" t="s">
        <v>40</v>
      </c>
      <c r="U49" s="87"/>
      <c r="V49" s="10">
        <f aca="true" t="shared" si="34" ref="V49:AA49">V7+V15+V19+V23+V28</f>
        <v>4288.1030954747675</v>
      </c>
      <c r="W49" s="10">
        <f t="shared" si="34"/>
        <v>4349.970987582685</v>
      </c>
      <c r="X49" s="10">
        <f t="shared" si="34"/>
        <v>4421.189</v>
      </c>
      <c r="Y49" s="10">
        <f t="shared" si="34"/>
        <v>4674.371</v>
      </c>
      <c r="Z49" s="10">
        <f t="shared" si="34"/>
        <v>4862.025</v>
      </c>
      <c r="AA49" s="10">
        <f t="shared" si="34"/>
        <v>5092.997</v>
      </c>
      <c r="AB49" s="10">
        <f aca="true" t="shared" si="35" ref="AB49:AG49">AB7+AB15+AB19+AB23+AB28</f>
        <v>5395.189</v>
      </c>
      <c r="AC49" s="10">
        <f t="shared" si="35"/>
        <v>5628.1</v>
      </c>
      <c r="AD49" s="10">
        <f t="shared" si="35"/>
        <v>5798.957</v>
      </c>
      <c r="AE49" s="10">
        <f t="shared" si="35"/>
        <v>6101.236999999999</v>
      </c>
      <c r="AF49" s="10">
        <f t="shared" si="35"/>
        <v>6291.934</v>
      </c>
      <c r="AG49" s="10">
        <f t="shared" si="35"/>
        <v>8423.09</v>
      </c>
      <c r="AH49" s="10">
        <f>AH7+AH15+AH19+AH23+AH28</f>
        <v>8775.901</v>
      </c>
      <c r="AI49" s="10">
        <f>AI7+AI15+AI19+AI23+AI28</f>
        <v>9140.095</v>
      </c>
      <c r="AJ49" s="51">
        <f>AJ7+AJ15+AJ19+AJ23+AJ28</f>
        <v>9267.303</v>
      </c>
      <c r="AK49" s="51">
        <f>AK7+AK15+AK19+AK23+AK28</f>
        <v>9462.527999999998</v>
      </c>
      <c r="AL49" s="20">
        <f>AL7+AL15+AL19+AL23+AL28</f>
        <v>9598.169</v>
      </c>
    </row>
    <row r="50" spans="1:38" ht="14.25" customHeight="1">
      <c r="A50" s="23" t="s">
        <v>63</v>
      </c>
      <c r="B50" s="12">
        <v>346.9229177914234</v>
      </c>
      <c r="C50" s="12">
        <v>339.21923800778035</v>
      </c>
      <c r="D50" s="12">
        <v>410.11</v>
      </c>
      <c r="E50" s="12">
        <v>382.626</v>
      </c>
      <c r="F50" s="12">
        <v>378.425</v>
      </c>
      <c r="G50" s="12">
        <v>397.523</v>
      </c>
      <c r="H50" s="12">
        <v>442.63</v>
      </c>
      <c r="I50" s="12">
        <v>460.011</v>
      </c>
      <c r="J50" s="12">
        <v>501.733</v>
      </c>
      <c r="K50" s="12">
        <v>551.074</v>
      </c>
      <c r="L50" s="12">
        <v>561.701</v>
      </c>
      <c r="M50" s="12">
        <v>583.407</v>
      </c>
      <c r="N50" s="12">
        <v>677.891</v>
      </c>
      <c r="O50" s="12">
        <v>685.584</v>
      </c>
      <c r="P50" s="65">
        <v>713.704</v>
      </c>
      <c r="Q50" s="65">
        <v>684.208</v>
      </c>
      <c r="R50" s="29">
        <v>735.74</v>
      </c>
      <c r="S50" s="68"/>
      <c r="T50" s="25"/>
      <c r="U50" s="89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54"/>
      <c r="AK50" s="54"/>
      <c r="AL50" s="26"/>
    </row>
    <row r="51" spans="1:38" ht="14.25" customHeight="1">
      <c r="A51" s="23" t="s">
        <v>64</v>
      </c>
      <c r="B51" s="12">
        <v>9.390604686052008</v>
      </c>
      <c r="C51" s="12">
        <v>2.349921708520232</v>
      </c>
      <c r="D51" s="12">
        <v>4.636</v>
      </c>
      <c r="E51" s="12">
        <v>2.255</v>
      </c>
      <c r="F51" s="12">
        <v>1.816</v>
      </c>
      <c r="G51" s="12">
        <f>1.335</f>
        <v>1.335</v>
      </c>
      <c r="H51" s="12">
        <v>4.148</v>
      </c>
      <c r="I51" s="12">
        <v>4.485</v>
      </c>
      <c r="J51" s="12">
        <v>8.286</v>
      </c>
      <c r="K51" s="12">
        <v>14.448</v>
      </c>
      <c r="L51" s="12">
        <v>13.084</v>
      </c>
      <c r="M51" s="12">
        <v>26.512</v>
      </c>
      <c r="N51" s="12">
        <v>23.257</v>
      </c>
      <c r="O51" s="12">
        <v>27.651</v>
      </c>
      <c r="P51" s="65">
        <v>27.164</v>
      </c>
      <c r="Q51" s="65">
        <v>42.106</v>
      </c>
      <c r="R51" s="29">
        <v>46.065</v>
      </c>
      <c r="S51" s="68"/>
      <c r="T51" s="25"/>
      <c r="U51" s="25" t="s">
        <v>82</v>
      </c>
      <c r="V51" s="14"/>
      <c r="W51" s="14"/>
      <c r="X51" s="14">
        <v>37.774</v>
      </c>
      <c r="Y51" s="14">
        <v>41.632</v>
      </c>
      <c r="Z51" s="14">
        <v>41.557</v>
      </c>
      <c r="AA51" s="14">
        <v>44.143</v>
      </c>
      <c r="AB51" s="14">
        <v>41.505</v>
      </c>
      <c r="AC51" s="14">
        <v>48.934</v>
      </c>
      <c r="AD51" s="14">
        <v>48.218</v>
      </c>
      <c r="AE51" s="14"/>
      <c r="AF51" s="14"/>
      <c r="AG51" s="14"/>
      <c r="AH51" s="14"/>
      <c r="AI51" s="14"/>
      <c r="AJ51" s="54"/>
      <c r="AK51" s="54"/>
      <c r="AL51" s="26"/>
    </row>
    <row r="52" spans="1:38" ht="14.25" customHeight="1">
      <c r="A52" s="23" t="s">
        <v>65</v>
      </c>
      <c r="B52" s="12">
        <v>35.09964293703212</v>
      </c>
      <c r="C52" s="12">
        <v>86.16990680706994</v>
      </c>
      <c r="D52" s="12">
        <v>110.725</v>
      </c>
      <c r="E52" s="12">
        <v>110.037</v>
      </c>
      <c r="F52" s="12">
        <v>116.148</v>
      </c>
      <c r="G52" s="12">
        <v>120.355</v>
      </c>
      <c r="H52" s="12">
        <v>138.364</v>
      </c>
      <c r="I52" s="12">
        <v>136.799</v>
      </c>
      <c r="J52" s="12">
        <v>143.424</v>
      </c>
      <c r="K52" s="12">
        <v>142.124</v>
      </c>
      <c r="L52" s="12">
        <v>148.074</v>
      </c>
      <c r="M52" s="12">
        <v>184.547</v>
      </c>
      <c r="N52" s="12">
        <v>169.056</v>
      </c>
      <c r="O52" s="12">
        <v>170.816</v>
      </c>
      <c r="P52" s="65">
        <v>165.192</v>
      </c>
      <c r="Q52" s="65">
        <v>164.136</v>
      </c>
      <c r="R52" s="29">
        <v>160.096</v>
      </c>
      <c r="S52" s="68"/>
      <c r="T52" s="25"/>
      <c r="U52" s="25" t="s">
        <v>80</v>
      </c>
      <c r="V52" s="38"/>
      <c r="W52" s="38"/>
      <c r="X52" s="38"/>
      <c r="Y52" s="14">
        <v>97.586</v>
      </c>
      <c r="Z52" s="14">
        <v>104.556</v>
      </c>
      <c r="AA52" s="14">
        <v>115.88</v>
      </c>
      <c r="AB52" s="14">
        <v>152.547</v>
      </c>
      <c r="AC52" s="14">
        <v>318.748</v>
      </c>
      <c r="AD52" s="14">
        <v>387.05</v>
      </c>
      <c r="AE52" s="14"/>
      <c r="AF52" s="14"/>
      <c r="AG52" s="14"/>
      <c r="AH52" s="14"/>
      <c r="AI52" s="14"/>
      <c r="AJ52" s="54"/>
      <c r="AK52" s="54"/>
      <c r="AL52" s="26"/>
    </row>
    <row r="53" spans="1:38" ht="14.25" customHeight="1">
      <c r="A53" s="23" t="s">
        <v>66</v>
      </c>
      <c r="B53" s="13">
        <v>148.02639877693738</v>
      </c>
      <c r="C53" s="13">
        <v>61.85985572839668</v>
      </c>
      <c r="D53" s="13">
        <v>65.076</v>
      </c>
      <c r="E53" s="13">
        <v>85.679</v>
      </c>
      <c r="F53" s="13">
        <v>97.195</v>
      </c>
      <c r="G53" s="13">
        <v>115.682</v>
      </c>
      <c r="H53" s="13">
        <v>127.487</v>
      </c>
      <c r="I53" s="13">
        <v>131.445</v>
      </c>
      <c r="J53" s="13">
        <v>135.435</v>
      </c>
      <c r="K53" s="13">
        <v>107.773</v>
      </c>
      <c r="L53" s="13">
        <v>104.409</v>
      </c>
      <c r="M53" s="13">
        <v>140.049</v>
      </c>
      <c r="N53" s="13">
        <v>153.152</v>
      </c>
      <c r="O53" s="13">
        <v>162.979</v>
      </c>
      <c r="P53" s="53">
        <v>149.386</v>
      </c>
      <c r="Q53" s="53">
        <v>114.22</v>
      </c>
      <c r="R53" s="24">
        <v>110.508</v>
      </c>
      <c r="S53" s="68"/>
      <c r="T53" s="30"/>
      <c r="U53" s="30" t="s">
        <v>81</v>
      </c>
      <c r="V53" s="16">
        <f>663.215/5.94573</f>
        <v>111.54475564817105</v>
      </c>
      <c r="W53" s="16">
        <f>660.224/5.94573</f>
        <v>111.04170556012467</v>
      </c>
      <c r="X53" s="16" t="e">
        <f>#REF!+X51+#REF!+#REF!</f>
        <v>#REF!</v>
      </c>
      <c r="Y53" s="16">
        <f aca="true" t="shared" si="36" ref="Y53:AD53">Y51+Y52</f>
        <v>139.218</v>
      </c>
      <c r="Z53" s="16">
        <f t="shared" si="36"/>
        <v>146.113</v>
      </c>
      <c r="AA53" s="16">
        <f t="shared" si="36"/>
        <v>160.023</v>
      </c>
      <c r="AB53" s="16">
        <f t="shared" si="36"/>
        <v>194.052</v>
      </c>
      <c r="AC53" s="16">
        <f t="shared" si="36"/>
        <v>367.682</v>
      </c>
      <c r="AD53" s="16">
        <f t="shared" si="36"/>
        <v>435.26800000000003</v>
      </c>
      <c r="AE53" s="14"/>
      <c r="AF53" s="14"/>
      <c r="AG53" s="14"/>
      <c r="AH53" s="14"/>
      <c r="AI53" s="14"/>
      <c r="AJ53" s="54"/>
      <c r="AK53" s="54"/>
      <c r="AL53" s="26"/>
    </row>
    <row r="54" spans="1:38" ht="14.25" customHeight="1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4"/>
      <c r="Q54" s="54"/>
      <c r="R54" s="26"/>
      <c r="S54" s="68"/>
      <c r="T54" s="25"/>
      <c r="U54" s="89"/>
      <c r="V54" s="38"/>
      <c r="W54" s="38"/>
      <c r="X54" s="38"/>
      <c r="Y54" s="38"/>
      <c r="Z54" s="38"/>
      <c r="AA54" s="38"/>
      <c r="AB54" s="38"/>
      <c r="AC54" s="38"/>
      <c r="AD54" s="38"/>
      <c r="AE54" s="14"/>
      <c r="AF54" s="14"/>
      <c r="AG54" s="14"/>
      <c r="AH54" s="14"/>
      <c r="AI54" s="14"/>
      <c r="AJ54" s="54"/>
      <c r="AK54" s="54"/>
      <c r="AL54" s="26"/>
    </row>
    <row r="55" spans="1:38" ht="14.25" customHeight="1">
      <c r="A55" s="21" t="s">
        <v>100</v>
      </c>
      <c r="B55" s="14">
        <f aca="true" t="shared" si="37" ref="B55:G55">SUM(B56:B59)</f>
        <v>116.9319831206597</v>
      </c>
      <c r="C55" s="14">
        <f t="shared" si="37"/>
        <v>122.3915314015268</v>
      </c>
      <c r="D55" s="14">
        <f t="shared" si="37"/>
        <v>99.55</v>
      </c>
      <c r="E55" s="14">
        <f t="shared" si="37"/>
        <v>110.34499999999998</v>
      </c>
      <c r="F55" s="14">
        <f t="shared" si="37"/>
        <v>210.121</v>
      </c>
      <c r="G55" s="14">
        <f t="shared" si="37"/>
        <v>149.182</v>
      </c>
      <c r="H55" s="14">
        <f aca="true" t="shared" si="38" ref="H55:M55">SUM(H56:H59)</f>
        <v>212.264</v>
      </c>
      <c r="I55" s="14">
        <f t="shared" si="38"/>
        <v>168.748</v>
      </c>
      <c r="J55" s="14">
        <f t="shared" si="38"/>
        <v>152.052</v>
      </c>
      <c r="K55" s="14">
        <f t="shared" si="38"/>
        <v>152.099</v>
      </c>
      <c r="L55" s="14">
        <f t="shared" si="38"/>
        <v>140.727</v>
      </c>
      <c r="M55" s="14">
        <f t="shared" si="38"/>
        <v>108.11399999999999</v>
      </c>
      <c r="N55" s="14">
        <f>SUM(N56:N59)</f>
        <v>131.75400000000002</v>
      </c>
      <c r="O55" s="14">
        <f>SUM(O56:O59)</f>
        <v>142.03099999999998</v>
      </c>
      <c r="P55" s="54">
        <f>SUM(P56:P59)</f>
        <v>142.746</v>
      </c>
      <c r="Q55" s="54">
        <f>SUM(Q56:Q59)</f>
        <v>147.78300000000002</v>
      </c>
      <c r="R55" s="26">
        <f>SUM(R56:R59)</f>
        <v>143.86599999999999</v>
      </c>
      <c r="S55" s="68"/>
      <c r="T55" s="25" t="s">
        <v>91</v>
      </c>
      <c r="U55" s="89"/>
      <c r="V55" s="38"/>
      <c r="W55" s="38"/>
      <c r="X55" s="38"/>
      <c r="Y55" s="38"/>
      <c r="Z55" s="38"/>
      <c r="AA55" s="38"/>
      <c r="AB55" s="38"/>
      <c r="AC55" s="38"/>
      <c r="AD55" s="38"/>
      <c r="AE55" s="14">
        <v>61.885</v>
      </c>
      <c r="AF55" s="14">
        <v>76.157</v>
      </c>
      <c r="AG55" s="14">
        <v>101.702</v>
      </c>
      <c r="AH55" s="14">
        <v>123.742</v>
      </c>
      <c r="AI55" s="14">
        <v>149.742</v>
      </c>
      <c r="AJ55" s="54">
        <v>186.736</v>
      </c>
      <c r="AK55" s="54">
        <v>207.312</v>
      </c>
      <c r="AL55" s="26">
        <v>350.544</v>
      </c>
    </row>
    <row r="56" spans="1:38" ht="14.25" customHeight="1">
      <c r="A56" s="23" t="s">
        <v>21</v>
      </c>
      <c r="B56" s="12">
        <v>8.676142374443508</v>
      </c>
      <c r="C56" s="12">
        <v>6.491717585561402</v>
      </c>
      <c r="D56" s="12">
        <v>7.778</v>
      </c>
      <c r="E56" s="12">
        <v>5.927</v>
      </c>
      <c r="F56" s="12">
        <v>6.36</v>
      </c>
      <c r="G56" s="12">
        <v>16.14</v>
      </c>
      <c r="H56" s="12">
        <v>21.411</v>
      </c>
      <c r="I56" s="12">
        <v>18.291</v>
      </c>
      <c r="J56" s="12">
        <v>11.392</v>
      </c>
      <c r="K56" s="12">
        <v>10.388</v>
      </c>
      <c r="L56" s="12">
        <v>0.811</v>
      </c>
      <c r="M56" s="12">
        <v>0.544</v>
      </c>
      <c r="N56" s="12">
        <v>0.34</v>
      </c>
      <c r="O56" s="12">
        <v>0.336</v>
      </c>
      <c r="P56" s="65">
        <v>0.642</v>
      </c>
      <c r="Q56" s="65">
        <v>0.937</v>
      </c>
      <c r="R56" s="29">
        <v>2.743</v>
      </c>
      <c r="S56" s="68"/>
      <c r="T56" s="25" t="s">
        <v>92</v>
      </c>
      <c r="U56" s="89"/>
      <c r="V56" s="38"/>
      <c r="W56" s="38"/>
      <c r="X56" s="38"/>
      <c r="Y56" s="38"/>
      <c r="Z56" s="38"/>
      <c r="AA56" s="38"/>
      <c r="AB56" s="38"/>
      <c r="AC56" s="38"/>
      <c r="AD56" s="38"/>
      <c r="AE56" s="14">
        <v>17.18</v>
      </c>
      <c r="AF56" s="14">
        <v>27.825</v>
      </c>
      <c r="AG56" s="14">
        <v>27.268</v>
      </c>
      <c r="AH56" s="14">
        <v>31.966</v>
      </c>
      <c r="AI56" s="14">
        <v>30.618</v>
      </c>
      <c r="AJ56" s="54">
        <v>36.276</v>
      </c>
      <c r="AK56" s="54">
        <v>52.11</v>
      </c>
      <c r="AL56" s="26">
        <v>10.328</v>
      </c>
    </row>
    <row r="57" spans="1:38" ht="14.25" customHeight="1">
      <c r="A57" s="23" t="s">
        <v>78</v>
      </c>
      <c r="B57" s="13">
        <v>99.90884214385785</v>
      </c>
      <c r="C57" s="13">
        <v>110.17200579239218</v>
      </c>
      <c r="D57" s="13">
        <v>85.286</v>
      </c>
      <c r="E57" s="13">
        <v>98.083</v>
      </c>
      <c r="F57" s="13">
        <v>192.054</v>
      </c>
      <c r="G57" s="13">
        <v>120.684</v>
      </c>
      <c r="H57" s="13">
        <v>182.752</v>
      </c>
      <c r="I57" s="13">
        <v>127.043</v>
      </c>
      <c r="J57" s="13">
        <v>110.573</v>
      </c>
      <c r="K57" s="13">
        <v>114.294</v>
      </c>
      <c r="L57" s="13">
        <v>109.705</v>
      </c>
      <c r="M57" s="13">
        <v>75.405</v>
      </c>
      <c r="N57" s="13">
        <v>104.864</v>
      </c>
      <c r="O57" s="13">
        <v>124.893</v>
      </c>
      <c r="P57" s="53">
        <v>125.557</v>
      </c>
      <c r="Q57" s="53">
        <v>119.206</v>
      </c>
      <c r="R57" s="24">
        <v>108.572</v>
      </c>
      <c r="S57" s="68"/>
      <c r="T57" s="30" t="s">
        <v>93</v>
      </c>
      <c r="U57" s="90"/>
      <c r="V57" s="38"/>
      <c r="W57" s="38"/>
      <c r="X57" s="38"/>
      <c r="Y57" s="38"/>
      <c r="Z57" s="38"/>
      <c r="AA57" s="38"/>
      <c r="AB57" s="38"/>
      <c r="AC57" s="38"/>
      <c r="AD57" s="38"/>
      <c r="AE57" s="16">
        <f aca="true" t="shared" si="39" ref="AE57:AJ57">AE55+AE56</f>
        <v>79.065</v>
      </c>
      <c r="AF57" s="16">
        <f t="shared" si="39"/>
        <v>103.982</v>
      </c>
      <c r="AG57" s="16">
        <f t="shared" si="39"/>
        <v>128.97</v>
      </c>
      <c r="AH57" s="16">
        <f t="shared" si="39"/>
        <v>155.708</v>
      </c>
      <c r="AI57" s="16">
        <f t="shared" si="39"/>
        <v>180.35999999999999</v>
      </c>
      <c r="AJ57" s="55">
        <f t="shared" si="39"/>
        <v>223.012</v>
      </c>
      <c r="AK57" s="55">
        <f>AK55+AK56</f>
        <v>259.422</v>
      </c>
      <c r="AL57" s="31">
        <f>AL55+AL56</f>
        <v>360.87199999999996</v>
      </c>
    </row>
    <row r="58" spans="1:38" ht="14.25" customHeight="1">
      <c r="A58" s="23" t="s">
        <v>23</v>
      </c>
      <c r="B58" s="13">
        <v>0.5999263336882099</v>
      </c>
      <c r="C58" s="13">
        <v>1.5385831512699029</v>
      </c>
      <c r="D58" s="13">
        <v>1.49</v>
      </c>
      <c r="E58" s="13">
        <v>2.979</v>
      </c>
      <c r="F58" s="13">
        <v>3.733</v>
      </c>
      <c r="G58" s="13">
        <v>5.593</v>
      </c>
      <c r="H58" s="13">
        <v>3.098</v>
      </c>
      <c r="I58" s="13">
        <v>1.351</v>
      </c>
      <c r="J58" s="13">
        <v>3.851</v>
      </c>
      <c r="K58" s="13">
        <v>2.243</v>
      </c>
      <c r="L58" s="13">
        <v>2.243</v>
      </c>
      <c r="M58" s="13">
        <v>3.014</v>
      </c>
      <c r="N58" s="13">
        <v>5.006</v>
      </c>
      <c r="O58" s="13">
        <v>9.179</v>
      </c>
      <c r="P58" s="53">
        <v>12.028</v>
      </c>
      <c r="Q58" s="53">
        <v>12.799</v>
      </c>
      <c r="R58" s="24">
        <v>17.588</v>
      </c>
      <c r="S58" s="68"/>
      <c r="T58" s="25"/>
      <c r="U58" s="89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64"/>
      <c r="AK58" s="64"/>
      <c r="AL58" s="41"/>
    </row>
    <row r="59" spans="1:38" ht="14.25" customHeight="1">
      <c r="A59" s="23" t="s">
        <v>59</v>
      </c>
      <c r="B59" s="13">
        <v>7.747072268670121</v>
      </c>
      <c r="C59" s="13">
        <v>4.189224872303317</v>
      </c>
      <c r="D59" s="13">
        <v>4.996</v>
      </c>
      <c r="E59" s="13">
        <v>3.356</v>
      </c>
      <c r="F59" s="13">
        <v>7.974</v>
      </c>
      <c r="G59" s="13">
        <v>6.765</v>
      </c>
      <c r="H59" s="13">
        <v>5.003</v>
      </c>
      <c r="I59" s="13">
        <v>22.063</v>
      </c>
      <c r="J59" s="13">
        <v>26.236</v>
      </c>
      <c r="K59" s="13">
        <v>25.174</v>
      </c>
      <c r="L59" s="13">
        <v>27.968</v>
      </c>
      <c r="M59" s="13">
        <v>29.151</v>
      </c>
      <c r="N59" s="13">
        <v>21.544</v>
      </c>
      <c r="O59" s="13">
        <v>7.623</v>
      </c>
      <c r="P59" s="53">
        <v>4.519</v>
      </c>
      <c r="Q59" s="53">
        <v>14.841</v>
      </c>
      <c r="R59" s="24">
        <v>14.963</v>
      </c>
      <c r="S59" s="68"/>
      <c r="T59" s="19" t="s">
        <v>41</v>
      </c>
      <c r="U59" s="87"/>
      <c r="V59" s="47">
        <f aca="true" t="shared" si="40" ref="V59:AE59">100*(V7+V15)/(V49-V34-V44)</f>
        <v>66.42386650291255</v>
      </c>
      <c r="W59" s="47">
        <f t="shared" si="40"/>
        <v>67.29436910159983</v>
      </c>
      <c r="X59" s="47">
        <f t="shared" si="40"/>
        <v>67.18976985347908</v>
      </c>
      <c r="Y59" s="47">
        <f t="shared" si="40"/>
        <v>64.97668179263769</v>
      </c>
      <c r="Z59" s="47">
        <f t="shared" si="40"/>
        <v>63.45686042502769</v>
      </c>
      <c r="AA59" s="47">
        <f t="shared" si="40"/>
        <v>60.78249122585663</v>
      </c>
      <c r="AB59" s="47">
        <f t="shared" si="40"/>
        <v>58.27608368569268</v>
      </c>
      <c r="AC59" s="47">
        <f t="shared" si="40"/>
        <v>57.30570716297617</v>
      </c>
      <c r="AD59" s="47">
        <f t="shared" si="40"/>
        <v>56.24508653594626</v>
      </c>
      <c r="AE59" s="47">
        <f t="shared" si="40"/>
        <v>55.08821004845083</v>
      </c>
      <c r="AF59" s="47">
        <f aca="true" t="shared" si="41" ref="AF59:AK59">100*(AF7+AF15)/(AF49-AF34-AF44)</f>
        <v>53.945957725064275</v>
      </c>
      <c r="AG59" s="47">
        <f t="shared" si="41"/>
        <v>46.888211630124616</v>
      </c>
      <c r="AH59" s="47">
        <f t="shared" si="41"/>
        <v>45.42602143543574</v>
      </c>
      <c r="AI59" s="47">
        <f t="shared" si="41"/>
        <v>42.749724829913866</v>
      </c>
      <c r="AJ59" s="66">
        <f t="shared" si="41"/>
        <v>41.20169172312111</v>
      </c>
      <c r="AK59" s="66">
        <f t="shared" si="41"/>
        <v>40.73550334032015</v>
      </c>
      <c r="AL59" s="49">
        <f>100*(AL7+AL15)/(AL49-AL34-AL44)</f>
        <v>41.13511758496488</v>
      </c>
    </row>
    <row r="60" spans="1:38" ht="14.25" customHeight="1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54"/>
      <c r="Q60" s="54"/>
      <c r="R60" s="26"/>
      <c r="S60" s="95"/>
      <c r="T60" s="42" t="s">
        <v>88</v>
      </c>
      <c r="U60" s="92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54"/>
      <c r="AK60" s="54"/>
      <c r="AL60" s="26"/>
    </row>
    <row r="61" spans="1:38" ht="14.25" customHeight="1">
      <c r="A61" s="21" t="s">
        <v>43</v>
      </c>
      <c r="B61" s="11">
        <v>334.2375116259904</v>
      </c>
      <c r="C61" s="11">
        <v>367.63559731101145</v>
      </c>
      <c r="D61" s="11">
        <v>317.388</v>
      </c>
      <c r="E61" s="11">
        <v>409.644</v>
      </c>
      <c r="F61" s="11">
        <v>333.838</v>
      </c>
      <c r="G61" s="11">
        <v>434.707</v>
      </c>
      <c r="H61" s="11">
        <v>435.796</v>
      </c>
      <c r="I61" s="11">
        <v>428.229</v>
      </c>
      <c r="J61" s="11">
        <v>423.16</v>
      </c>
      <c r="K61" s="11">
        <v>480.251</v>
      </c>
      <c r="L61" s="11">
        <v>532.134</v>
      </c>
      <c r="M61" s="11">
        <v>641.641</v>
      </c>
      <c r="N61" s="11">
        <v>613.376</v>
      </c>
      <c r="O61" s="11">
        <v>685.194</v>
      </c>
      <c r="P61" s="52">
        <v>668.599</v>
      </c>
      <c r="Q61" s="52">
        <v>815.19</v>
      </c>
      <c r="R61" s="22">
        <v>816.005</v>
      </c>
      <c r="S61" s="68"/>
      <c r="T61" s="25" t="s">
        <v>109</v>
      </c>
      <c r="U61" s="89"/>
      <c r="V61" s="14">
        <f aca="true" t="shared" si="42" ref="V61:AL61">B55+B61</f>
        <v>451.1694947466501</v>
      </c>
      <c r="W61" s="14">
        <f t="shared" si="42"/>
        <v>490.02712871253823</v>
      </c>
      <c r="X61" s="14">
        <f t="shared" si="42"/>
        <v>416.938</v>
      </c>
      <c r="Y61" s="14">
        <f t="shared" si="42"/>
        <v>519.989</v>
      </c>
      <c r="Z61" s="14">
        <f t="shared" si="42"/>
        <v>543.9590000000001</v>
      </c>
      <c r="AA61" s="14">
        <f t="shared" si="42"/>
        <v>583.889</v>
      </c>
      <c r="AB61" s="14">
        <f t="shared" si="42"/>
        <v>648.06</v>
      </c>
      <c r="AC61" s="14">
        <f t="shared" si="42"/>
        <v>596.977</v>
      </c>
      <c r="AD61" s="14">
        <f t="shared" si="42"/>
        <v>575.212</v>
      </c>
      <c r="AE61" s="14">
        <f t="shared" si="42"/>
        <v>632.3499999999999</v>
      </c>
      <c r="AF61" s="14">
        <f t="shared" si="42"/>
        <v>672.861</v>
      </c>
      <c r="AG61" s="14">
        <f t="shared" si="42"/>
        <v>749.755</v>
      </c>
      <c r="AH61" s="14">
        <f t="shared" si="42"/>
        <v>745.13</v>
      </c>
      <c r="AI61" s="14">
        <f t="shared" si="42"/>
        <v>827.2249999999999</v>
      </c>
      <c r="AJ61" s="54">
        <f t="shared" si="42"/>
        <v>811.345</v>
      </c>
      <c r="AK61" s="54">
        <f t="shared" si="42"/>
        <v>962.9730000000001</v>
      </c>
      <c r="AL61" s="26">
        <f t="shared" si="42"/>
        <v>959.871</v>
      </c>
    </row>
    <row r="62" spans="1:38" ht="14.25" customHeight="1">
      <c r="A62" s="2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52"/>
      <c r="Q62" s="52"/>
      <c r="R62" s="22"/>
      <c r="S62" s="68"/>
      <c r="T62" s="25" t="s">
        <v>110</v>
      </c>
      <c r="U62" s="89"/>
      <c r="V62" s="14">
        <f>1000000*V61/5171302</f>
        <v>87.24485530851807</v>
      </c>
      <c r="W62" s="14">
        <f>1000000*W61/5181115</f>
        <v>94.57947347482892</v>
      </c>
      <c r="X62" s="14">
        <f>1000000*X61/5168893</f>
        <v>80.66291950713625</v>
      </c>
      <c r="Y62" s="14">
        <f>1000000*Y61/5206295</f>
        <v>99.87697585326995</v>
      </c>
      <c r="Z62" s="14">
        <f>1000000*Z61/5219732</f>
        <v>104.21205533157644</v>
      </c>
      <c r="AA62" s="14">
        <f>1000000*AA61/5236611</f>
        <v>111.50131258556345</v>
      </c>
      <c r="AB62" s="14">
        <f>1000000*AB61/5255580</f>
        <v>123.3089402121174</v>
      </c>
      <c r="AC62" s="14">
        <f>1000000*AC61/5276955</f>
        <v>113.12906780520206</v>
      </c>
      <c r="AD62" s="14">
        <f>1000000*AD61/5300484</f>
        <v>108.52065584954128</v>
      </c>
      <c r="AE62" s="14">
        <f>1000000*AE61/5326314</f>
        <v>118.72187783146092</v>
      </c>
      <c r="AF62" s="14">
        <f>1000000*AF61/5351427</f>
        <v>125.73487408124973</v>
      </c>
      <c r="AG62" s="14">
        <f>1000000*AG61/5375276</f>
        <v>139.48214007987684</v>
      </c>
      <c r="AH62" s="14">
        <f>1000000*AH61/5401267</f>
        <v>137.95466878419452</v>
      </c>
      <c r="AI62" s="14">
        <f>1000000*AI61/5426674</f>
        <v>152.4368333163186</v>
      </c>
      <c r="AJ62" s="54">
        <f>1000000*AJ61/5451270</f>
        <v>148.83595932690915</v>
      </c>
      <c r="AK62" s="54">
        <f>1000000*AK61/5471753</f>
        <v>175.9898518811065</v>
      </c>
      <c r="AL62" s="26">
        <f>1000000*AL61/5487308</f>
        <v>174.92566482508363</v>
      </c>
    </row>
    <row r="63" spans="1:38" ht="14.25" customHeight="1">
      <c r="A63" s="32" t="s">
        <v>45</v>
      </c>
      <c r="B63" s="33">
        <f>B7+B28+B29+B34</f>
        <v>4288.083549034349</v>
      </c>
      <c r="C63" s="33">
        <f aca="true" t="shared" si="43" ref="C63:M63">C7+C29+C34</f>
        <v>4349.971996710245</v>
      </c>
      <c r="D63" s="33">
        <f t="shared" si="43"/>
        <v>4421.188</v>
      </c>
      <c r="E63" s="33">
        <f t="shared" si="43"/>
        <v>4674.370999999999</v>
      </c>
      <c r="F63" s="33">
        <f t="shared" si="43"/>
        <v>4862.359</v>
      </c>
      <c r="G63" s="33">
        <f t="shared" si="43"/>
        <v>5092.996999999999</v>
      </c>
      <c r="H63" s="33">
        <f t="shared" si="43"/>
        <v>5395.19</v>
      </c>
      <c r="I63" s="33">
        <f t="shared" si="43"/>
        <v>5628.099</v>
      </c>
      <c r="J63" s="33">
        <f t="shared" si="43"/>
        <v>5798.957</v>
      </c>
      <c r="K63" s="33">
        <f t="shared" si="43"/>
        <v>6101.262</v>
      </c>
      <c r="L63" s="33">
        <f t="shared" si="43"/>
        <v>6291.933999999998</v>
      </c>
      <c r="M63" s="33">
        <f t="shared" si="43"/>
        <v>8423.09</v>
      </c>
      <c r="N63" s="33">
        <f>N7+N29+N34</f>
        <v>8775.902</v>
      </c>
      <c r="O63" s="33">
        <f>O7+O29+O34</f>
        <v>9139.907</v>
      </c>
      <c r="P63" s="56">
        <f>P7+P29+P34</f>
        <v>9267.305</v>
      </c>
      <c r="Q63" s="56">
        <f>Q7+Q29+Q34</f>
        <v>9462.528</v>
      </c>
      <c r="R63" s="34">
        <f>R7+R29+R34</f>
        <v>9598.132</v>
      </c>
      <c r="S63" s="68"/>
      <c r="T63" s="42" t="s">
        <v>44</v>
      </c>
      <c r="U63" s="92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54"/>
      <c r="AK63" s="54"/>
      <c r="AL63" s="26"/>
    </row>
    <row r="64" spans="20:38" ht="14.25" customHeight="1">
      <c r="T64" s="25" t="s">
        <v>109</v>
      </c>
      <c r="U64" s="89"/>
      <c r="V64" s="11">
        <f aca="true" t="shared" si="44" ref="V64:AE64">V28-(V34+V35+V36+V37+V44+V45+V46+V47)</f>
        <v>317.777127451129</v>
      </c>
      <c r="W64" s="11">
        <f t="shared" si="44"/>
        <v>259.1212517218239</v>
      </c>
      <c r="X64" s="11">
        <f t="shared" si="44"/>
        <v>292.847</v>
      </c>
      <c r="Y64" s="11">
        <f t="shared" si="44"/>
        <v>374.231</v>
      </c>
      <c r="Z64" s="11">
        <f t="shared" si="44"/>
        <v>414.953</v>
      </c>
      <c r="AA64" s="11">
        <f t="shared" si="44"/>
        <v>493.9950000000001</v>
      </c>
      <c r="AB64" s="11">
        <f t="shared" si="44"/>
        <v>629.2029999999997</v>
      </c>
      <c r="AC64" s="11">
        <f t="shared" si="44"/>
        <v>711.2180000000003</v>
      </c>
      <c r="AD64" s="11">
        <f t="shared" si="44"/>
        <v>824.134</v>
      </c>
      <c r="AE64" s="11">
        <f t="shared" si="44"/>
        <v>930.9169999999999</v>
      </c>
      <c r="AF64" s="11">
        <f aca="true" t="shared" si="45" ref="AF64:AK64">AF28-(AF34+AF35+AF36+AF37+AF44+AF45+AF46+AF47)</f>
        <v>1055.573</v>
      </c>
      <c r="AG64" s="11">
        <f t="shared" si="45"/>
        <v>2356.569</v>
      </c>
      <c r="AH64" s="11">
        <f t="shared" si="45"/>
        <v>2498.6</v>
      </c>
      <c r="AI64" s="11">
        <f t="shared" si="45"/>
        <v>2745.937</v>
      </c>
      <c r="AJ64" s="52">
        <f t="shared" si="45"/>
        <v>2914.2560000000003</v>
      </c>
      <c r="AK64" s="52">
        <f t="shared" si="45"/>
        <v>2999.1259999999993</v>
      </c>
      <c r="AL64" s="22">
        <f>AL28-(AL34+AL35+AL36+AL37+AL44+AL45+AL46+AL47)</f>
        <v>3046.7019999999998</v>
      </c>
    </row>
    <row r="65" spans="20:38" ht="14.25" customHeight="1">
      <c r="T65" s="43" t="s">
        <v>110</v>
      </c>
      <c r="U65" s="93"/>
      <c r="V65" s="44">
        <f>1000000*V64/5171302</f>
        <v>61.45011980563677</v>
      </c>
      <c r="W65" s="44">
        <f>1000000*W64/5181115</f>
        <v>50.012642398754686</v>
      </c>
      <c r="X65" s="44">
        <f>1000000*X64/5168893</f>
        <v>56.65565141317493</v>
      </c>
      <c r="Y65" s="44">
        <f>1000000*Y64/5206295</f>
        <v>71.88048314588397</v>
      </c>
      <c r="Z65" s="44">
        <f>1000000*Z64/5219732</f>
        <v>79.49699333222472</v>
      </c>
      <c r="AA65" s="44">
        <f>1000000*AA64/5236611</f>
        <v>94.3348665768758</v>
      </c>
      <c r="AB65" s="44">
        <f>1000000*AB64/5255580</f>
        <v>119.72094421548141</v>
      </c>
      <c r="AC65" s="44">
        <f>1000000*AC64/5276955</f>
        <v>134.77810593419886</v>
      </c>
      <c r="AD65" s="44">
        <f>1000000*AD64/5300484</f>
        <v>155.48278232704786</v>
      </c>
      <c r="AE65" s="44">
        <f>1000000*AE64/5326314</f>
        <v>174.77696583415846</v>
      </c>
      <c r="AF65" s="44">
        <f>1000000*AF64/5351427</f>
        <v>197.25075199568266</v>
      </c>
      <c r="AG65" s="44">
        <f>1000000*AG64/5375276</f>
        <v>438.40893007168376</v>
      </c>
      <c r="AH65" s="44">
        <f>1000000*AH64/5401267</f>
        <v>462.59516517143106</v>
      </c>
      <c r="AI65" s="44">
        <f>1000000*AI64/5426674</f>
        <v>506.0073628893131</v>
      </c>
      <c r="AJ65" s="67">
        <f>1000000*AJ64/5451270</f>
        <v>534.6012947441607</v>
      </c>
      <c r="AK65" s="67">
        <f>1000000*AK64/5471753</f>
        <v>548.1106329178235</v>
      </c>
      <c r="AL65" s="45">
        <f>1000000*AL64/5487308</f>
        <v>555.2270803825846</v>
      </c>
    </row>
  </sheetData>
  <sheetProtection/>
  <printOptions/>
  <pageMargins left="0.2755905511811024" right="0.2362204724409449" top="0.5118110236220472" bottom="0.5118110236220472" header="0.3937007874015748" footer="0.275590551181102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67"/>
  <sheetViews>
    <sheetView zoomScale="105" zoomScaleNormal="105" zoomScalePageLayoutView="0" workbookViewId="0" topLeftCell="A1">
      <pane xSplit="10" ySplit="5" topLeftCell="K23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K38" sqref="AK38"/>
    </sheetView>
  </sheetViews>
  <sheetFormatPr defaultColWidth="9.7109375" defaultRowHeight="12.75"/>
  <cols>
    <col min="1" max="1" width="22.8515625" style="1" customWidth="1"/>
    <col min="2" max="10" width="7.28125" style="1" hidden="1" customWidth="1"/>
    <col min="11" max="18" width="5.57421875" style="1" customWidth="1"/>
    <col min="19" max="19" width="1.7109375" style="1" customWidth="1"/>
    <col min="20" max="20" width="26.28125" style="1" customWidth="1"/>
    <col min="21" max="29" width="7.00390625" style="1" hidden="1" customWidth="1"/>
    <col min="30" max="37" width="5.57421875" style="1" customWidth="1"/>
    <col min="38" max="16384" width="9.7109375" style="1" customWidth="1"/>
  </cols>
  <sheetData>
    <row r="1" ht="11.25" customHeight="1">
      <c r="A1" s="7">
        <v>42535</v>
      </c>
    </row>
    <row r="2" ht="18.75" customHeight="1">
      <c r="A2" s="8" t="s">
        <v>118</v>
      </c>
    </row>
    <row r="3" ht="12.75" customHeight="1">
      <c r="A3" s="3" t="s">
        <v>69</v>
      </c>
    </row>
    <row r="4" ht="8.25" customHeight="1"/>
    <row r="5" spans="1:37" ht="16.5" customHeight="1">
      <c r="A5" s="35" t="s">
        <v>0</v>
      </c>
      <c r="B5" s="36" t="s">
        <v>75</v>
      </c>
      <c r="C5" s="36">
        <v>2000</v>
      </c>
      <c r="D5" s="36" t="s">
        <v>68</v>
      </c>
      <c r="E5" s="36" t="s">
        <v>76</v>
      </c>
      <c r="F5" s="36" t="s">
        <v>79</v>
      </c>
      <c r="G5" s="36" t="s">
        <v>84</v>
      </c>
      <c r="H5" s="36" t="s">
        <v>86</v>
      </c>
      <c r="I5" s="36" t="s">
        <v>87</v>
      </c>
      <c r="J5" s="36" t="s">
        <v>90</v>
      </c>
      <c r="K5" s="36" t="s">
        <v>94</v>
      </c>
      <c r="L5" s="36" t="s">
        <v>96</v>
      </c>
      <c r="M5" s="36" t="s">
        <v>98</v>
      </c>
      <c r="N5" s="36" t="s">
        <v>99</v>
      </c>
      <c r="O5" s="36" t="s">
        <v>101</v>
      </c>
      <c r="P5" s="36" t="s">
        <v>102</v>
      </c>
      <c r="Q5" s="62" t="s">
        <v>111</v>
      </c>
      <c r="R5" s="36" t="s">
        <v>112</v>
      </c>
      <c r="T5" s="35" t="s">
        <v>1</v>
      </c>
      <c r="U5" s="36" t="s">
        <v>75</v>
      </c>
      <c r="V5" s="36">
        <v>2000</v>
      </c>
      <c r="W5" s="36" t="s">
        <v>68</v>
      </c>
      <c r="X5" s="36" t="s">
        <v>76</v>
      </c>
      <c r="Y5" s="36" t="s">
        <v>79</v>
      </c>
      <c r="Z5" s="36" t="s">
        <v>84</v>
      </c>
      <c r="AA5" s="36" t="s">
        <v>86</v>
      </c>
      <c r="AB5" s="36" t="s">
        <v>87</v>
      </c>
      <c r="AC5" s="36" t="s">
        <v>90</v>
      </c>
      <c r="AD5" s="36" t="s">
        <v>94</v>
      </c>
      <c r="AE5" s="36" t="s">
        <v>96</v>
      </c>
      <c r="AF5" s="36" t="s">
        <v>98</v>
      </c>
      <c r="AG5" s="36" t="s">
        <v>99</v>
      </c>
      <c r="AH5" s="36" t="s">
        <v>101</v>
      </c>
      <c r="AI5" s="36" t="s">
        <v>102</v>
      </c>
      <c r="AJ5" s="62" t="s">
        <v>111</v>
      </c>
      <c r="AK5" s="36" t="s">
        <v>112</v>
      </c>
    </row>
    <row r="6" spans="1:37" ht="8.2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68"/>
      <c r="Q6" s="68"/>
      <c r="R6" s="72"/>
      <c r="T6" s="69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  <c r="AI6" s="68"/>
      <c r="AJ6" s="68"/>
      <c r="AK6" s="72"/>
    </row>
    <row r="7" spans="1:37" ht="16.5" customHeight="1">
      <c r="A7" s="73" t="s">
        <v>46</v>
      </c>
      <c r="B7" s="74">
        <f aca="true" t="shared" si="0" ref="B7:G7">B8+B14+B22</f>
        <v>36898.15346475538</v>
      </c>
      <c r="C7" s="74">
        <f t="shared" si="0"/>
        <v>38097.90370568458</v>
      </c>
      <c r="D7" s="74">
        <f t="shared" si="0"/>
        <v>39482.36</v>
      </c>
      <c r="E7" s="74">
        <f t="shared" si="0"/>
        <v>40805.937999999995</v>
      </c>
      <c r="F7" s="74">
        <f t="shared" si="0"/>
        <v>42150.784</v>
      </c>
      <c r="G7" s="74">
        <f t="shared" si="0"/>
        <v>43476.975000000006</v>
      </c>
      <c r="H7" s="74">
        <f aca="true" t="shared" si="1" ref="H7:M7">H8+H14+H22</f>
        <v>44809.087</v>
      </c>
      <c r="I7" s="74">
        <f t="shared" si="1"/>
        <v>46067.06700000001</v>
      </c>
      <c r="J7" s="74">
        <f t="shared" si="1"/>
        <v>47791.97699999999</v>
      </c>
      <c r="K7" s="74">
        <f t="shared" si="1"/>
        <v>50242.842</v>
      </c>
      <c r="L7" s="74">
        <f t="shared" si="1"/>
        <v>52520.79000000001</v>
      </c>
      <c r="M7" s="74">
        <f t="shared" si="1"/>
        <v>55309.21200000001</v>
      </c>
      <c r="N7" s="74">
        <f>N8+N14+N22</f>
        <v>57842.55400000001</v>
      </c>
      <c r="O7" s="74">
        <f>O8+O14+O22</f>
        <v>59970.52099999999</v>
      </c>
      <c r="P7" s="74">
        <f>P8+P14+P22</f>
        <v>62270.526000000005</v>
      </c>
      <c r="Q7" s="76">
        <f>Q8+Q14+Q22</f>
        <v>64315.155</v>
      </c>
      <c r="R7" s="75">
        <f>R8+R14+R22</f>
        <v>66338.736</v>
      </c>
      <c r="S7" s="2"/>
      <c r="T7" s="73" t="s">
        <v>2</v>
      </c>
      <c r="U7" s="74">
        <f aca="true" t="shared" si="2" ref="U7:AK7">SUM(U8:U14)</f>
        <v>23222.955297331027</v>
      </c>
      <c r="V7" s="74">
        <f t="shared" si="2"/>
        <v>23292.958476082833</v>
      </c>
      <c r="W7" s="74">
        <f t="shared" si="2"/>
        <v>23741.701000000005</v>
      </c>
      <c r="X7" s="74">
        <f t="shared" si="2"/>
        <v>24521.318000000003</v>
      </c>
      <c r="Y7" s="74">
        <f t="shared" si="2"/>
        <v>24579.281999999996</v>
      </c>
      <c r="Z7" s="74">
        <f t="shared" si="2"/>
        <v>24744.279</v>
      </c>
      <c r="AA7" s="74">
        <f t="shared" si="2"/>
        <v>24774.832</v>
      </c>
      <c r="AB7" s="74">
        <f t="shared" si="2"/>
        <v>25696.976</v>
      </c>
      <c r="AC7" s="74">
        <f t="shared" si="2"/>
        <v>26370.546000000002</v>
      </c>
      <c r="AD7" s="74">
        <f t="shared" si="2"/>
        <v>27088.173000000003</v>
      </c>
      <c r="AE7" s="74">
        <f t="shared" si="2"/>
        <v>27401.317000000006</v>
      </c>
      <c r="AF7" s="74">
        <f t="shared" si="2"/>
        <v>28748.882999999998</v>
      </c>
      <c r="AG7" s="74">
        <f t="shared" si="2"/>
        <v>29394.799</v>
      </c>
      <c r="AH7" s="74">
        <f t="shared" si="2"/>
        <v>28979.320999999996</v>
      </c>
      <c r="AI7" s="74">
        <f t="shared" si="2"/>
        <v>29009.464</v>
      </c>
      <c r="AJ7" s="74">
        <f t="shared" si="2"/>
        <v>29507.283999999996</v>
      </c>
      <c r="AK7" s="75">
        <f t="shared" si="2"/>
        <v>32950.459</v>
      </c>
    </row>
    <row r="8" spans="1:37" ht="16.5" customHeight="1">
      <c r="A8" s="21" t="s">
        <v>3</v>
      </c>
      <c r="B8" s="11">
        <f aca="true" t="shared" si="3" ref="B8:G8">SUM(B9:B12)</f>
        <v>426.98894837135214</v>
      </c>
      <c r="C8" s="11">
        <f t="shared" si="3"/>
        <v>596.1703609144714</v>
      </c>
      <c r="D8" s="11">
        <f t="shared" si="3"/>
        <v>623.497</v>
      </c>
      <c r="E8" s="11">
        <f t="shared" si="3"/>
        <v>610.5790000000001</v>
      </c>
      <c r="F8" s="11">
        <f t="shared" si="3"/>
        <v>626.746</v>
      </c>
      <c r="G8" s="11">
        <f t="shared" si="3"/>
        <v>578.1850000000001</v>
      </c>
      <c r="H8" s="11">
        <f aca="true" t="shared" si="4" ref="H8:M8">SUM(H9:H12)</f>
        <v>579.553</v>
      </c>
      <c r="I8" s="11">
        <f t="shared" si="4"/>
        <v>619.4</v>
      </c>
      <c r="J8" s="11">
        <f t="shared" si="4"/>
        <v>640.568</v>
      </c>
      <c r="K8" s="11">
        <f t="shared" si="4"/>
        <v>850.532</v>
      </c>
      <c r="L8" s="11">
        <f t="shared" si="4"/>
        <v>993.943</v>
      </c>
      <c r="M8" s="11">
        <f t="shared" si="4"/>
        <v>998.559</v>
      </c>
      <c r="N8" s="11">
        <f>SUM(N9:N12)</f>
        <v>1009.016</v>
      </c>
      <c r="O8" s="11">
        <f>SUM(O9:O12)</f>
        <v>1001.227</v>
      </c>
      <c r="P8" s="11">
        <f>SUM(P9:P12)</f>
        <v>1044.761</v>
      </c>
      <c r="Q8" s="52">
        <f>SUM(Q9:Q12)</f>
        <v>1080.56</v>
      </c>
      <c r="R8" s="22">
        <f>SUM(R9:R12)</f>
        <v>1198.865</v>
      </c>
      <c r="S8" s="2"/>
      <c r="T8" s="21" t="s">
        <v>4</v>
      </c>
      <c r="U8" s="11">
        <v>17386.99587771392</v>
      </c>
      <c r="V8" s="11">
        <v>17475.390574412224</v>
      </c>
      <c r="W8" s="14">
        <v>17914.204</v>
      </c>
      <c r="X8" s="14">
        <v>17525.871</v>
      </c>
      <c r="Y8" s="14">
        <v>17469.064</v>
      </c>
      <c r="Z8" s="14">
        <v>17377.081</v>
      </c>
      <c r="AA8" s="14">
        <v>17403.493</v>
      </c>
      <c r="AB8" s="14">
        <v>17362.933</v>
      </c>
      <c r="AC8" s="14">
        <v>17394.616</v>
      </c>
      <c r="AD8" s="14">
        <v>17391.22</v>
      </c>
      <c r="AE8" s="14">
        <v>17422.597</v>
      </c>
      <c r="AF8" s="14">
        <v>17405.661</v>
      </c>
      <c r="AG8" s="14">
        <v>17417.443</v>
      </c>
      <c r="AH8" s="14">
        <v>17995.235</v>
      </c>
      <c r="AI8" s="14">
        <v>18019.285</v>
      </c>
      <c r="AJ8" s="14">
        <v>18036.228</v>
      </c>
      <c r="AK8" s="26">
        <v>18032.841</v>
      </c>
    </row>
    <row r="9" spans="1:37" ht="16.5" customHeight="1">
      <c r="A9" s="23" t="s">
        <v>5</v>
      </c>
      <c r="B9" s="12">
        <v>151.11247903957965</v>
      </c>
      <c r="C9" s="12">
        <v>222.77483168593258</v>
      </c>
      <c r="D9" s="13">
        <v>229.31</v>
      </c>
      <c r="E9" s="13">
        <v>182.406</v>
      </c>
      <c r="F9" s="13">
        <v>202.265</v>
      </c>
      <c r="G9" s="13">
        <v>207.438</v>
      </c>
      <c r="H9" s="13">
        <v>215.744</v>
      </c>
      <c r="I9" s="13">
        <v>230.201</v>
      </c>
      <c r="J9" s="13">
        <v>257.084</v>
      </c>
      <c r="K9" s="13">
        <v>306.959</v>
      </c>
      <c r="L9" s="13">
        <v>367.418</v>
      </c>
      <c r="M9" s="13">
        <v>388.848</v>
      </c>
      <c r="N9" s="13">
        <v>363.198</v>
      </c>
      <c r="O9" s="13">
        <v>282.731</v>
      </c>
      <c r="P9" s="13">
        <v>282.998</v>
      </c>
      <c r="Q9" s="53">
        <v>303.904</v>
      </c>
      <c r="R9" s="24">
        <v>299.694</v>
      </c>
      <c r="S9" s="2"/>
      <c r="T9" s="21" t="s">
        <v>120</v>
      </c>
      <c r="U9" s="14">
        <v>169.2364099950721</v>
      </c>
      <c r="V9" s="14">
        <v>243.47607442652122</v>
      </c>
      <c r="W9" s="37">
        <v>236.559</v>
      </c>
      <c r="X9" s="37">
        <v>265.166</v>
      </c>
      <c r="Y9" s="37">
        <v>291.604</v>
      </c>
      <c r="Z9" s="37">
        <v>323.441</v>
      </c>
      <c r="AA9" s="37">
        <v>390.861</v>
      </c>
      <c r="AB9" s="37">
        <v>465.738</v>
      </c>
      <c r="AC9" s="37">
        <v>405.681</v>
      </c>
      <c r="AD9" s="37">
        <v>14.58</v>
      </c>
      <c r="AE9" s="37">
        <v>5.881</v>
      </c>
      <c r="AF9" s="37">
        <v>3.921</v>
      </c>
      <c r="AG9" s="37">
        <v>3.606</v>
      </c>
      <c r="AH9" s="37">
        <v>3.351</v>
      </c>
      <c r="AI9" s="37">
        <v>3.685</v>
      </c>
      <c r="AJ9" s="37">
        <v>4.387</v>
      </c>
      <c r="AK9" s="99"/>
    </row>
    <row r="10" spans="1:37" ht="16.5" customHeight="1">
      <c r="A10" s="23" t="s">
        <v>70</v>
      </c>
      <c r="B10" s="12">
        <v>4.79840154194691</v>
      </c>
      <c r="C10" s="12">
        <v>104.99484504005395</v>
      </c>
      <c r="D10" s="13">
        <v>96.959</v>
      </c>
      <c r="E10" s="13">
        <v>92.306</v>
      </c>
      <c r="F10" s="13">
        <v>91.036</v>
      </c>
      <c r="G10" s="13">
        <v>18.859</v>
      </c>
      <c r="H10" s="13">
        <v>12.41</v>
      </c>
      <c r="I10" s="13">
        <v>22.435</v>
      </c>
      <c r="J10" s="13">
        <v>20.088</v>
      </c>
      <c r="K10" s="13">
        <v>15.978</v>
      </c>
      <c r="L10" s="13">
        <v>5.376</v>
      </c>
      <c r="M10" s="13">
        <v>4.052</v>
      </c>
      <c r="N10" s="13">
        <v>3.328</v>
      </c>
      <c r="O10" s="13">
        <v>5.18</v>
      </c>
      <c r="P10" s="13">
        <v>5.78</v>
      </c>
      <c r="Q10" s="53">
        <v>3.982</v>
      </c>
      <c r="R10" s="24">
        <v>50.479</v>
      </c>
      <c r="S10" s="2"/>
      <c r="T10" s="25" t="s">
        <v>119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99">
        <v>17.473</v>
      </c>
    </row>
    <row r="11" spans="1:37" ht="16.5" customHeight="1">
      <c r="A11" s="23" t="s">
        <v>8</v>
      </c>
      <c r="B11" s="12">
        <v>243.7439977933744</v>
      </c>
      <c r="C11" s="12">
        <v>257.45921863253125</v>
      </c>
      <c r="D11" s="13">
        <v>283.167</v>
      </c>
      <c r="E11" s="13">
        <v>319.921</v>
      </c>
      <c r="F11" s="13">
        <v>318.867</v>
      </c>
      <c r="G11" s="13">
        <v>335.173</v>
      </c>
      <c r="H11" s="13">
        <v>335.979</v>
      </c>
      <c r="I11" s="13">
        <v>354.196</v>
      </c>
      <c r="J11" s="13">
        <v>353.426</v>
      </c>
      <c r="K11" s="13">
        <v>516.188</v>
      </c>
      <c r="L11" s="13">
        <v>601.118</v>
      </c>
      <c r="M11" s="13">
        <v>591.372</v>
      </c>
      <c r="N11" s="13">
        <v>623.811</v>
      </c>
      <c r="O11" s="13">
        <v>687.32</v>
      </c>
      <c r="P11" s="13">
        <v>712.487</v>
      </c>
      <c r="Q11" s="53">
        <v>746.415</v>
      </c>
      <c r="R11" s="24">
        <v>811.037</v>
      </c>
      <c r="S11" s="2"/>
      <c r="T11" s="25" t="s">
        <v>52</v>
      </c>
      <c r="U11" s="11">
        <v>2796.720167246074</v>
      </c>
      <c r="V11" s="11">
        <v>2690.8468766661117</v>
      </c>
      <c r="W11" s="14">
        <v>2676.884</v>
      </c>
      <c r="X11" s="14">
        <v>2666.86</v>
      </c>
      <c r="Y11" s="14">
        <v>2666.718</v>
      </c>
      <c r="Z11" s="14">
        <v>2630.718</v>
      </c>
      <c r="AA11" s="14">
        <v>2616.86</v>
      </c>
      <c r="AB11" s="14">
        <v>2476.851</v>
      </c>
      <c r="AC11" s="14">
        <v>2481.604</v>
      </c>
      <c r="AD11" s="14">
        <v>2554.406</v>
      </c>
      <c r="AE11" s="14">
        <v>2514.344</v>
      </c>
      <c r="AF11" s="14">
        <v>2506.979</v>
      </c>
      <c r="AG11" s="14">
        <v>2500.791</v>
      </c>
      <c r="AH11" s="14">
        <v>2508.285</v>
      </c>
      <c r="AI11" s="14">
        <v>2369.814</v>
      </c>
      <c r="AJ11" s="14">
        <v>2240.054</v>
      </c>
      <c r="AK11" s="26">
        <v>2219.902</v>
      </c>
    </row>
    <row r="12" spans="1:41" ht="16.5" customHeight="1">
      <c r="A12" s="23" t="s">
        <v>10</v>
      </c>
      <c r="B12" s="12">
        <v>27.33406999645123</v>
      </c>
      <c r="C12" s="12">
        <v>10.9414655559536</v>
      </c>
      <c r="D12" s="13">
        <v>14.061</v>
      </c>
      <c r="E12" s="13">
        <v>15.946</v>
      </c>
      <c r="F12" s="13">
        <v>14.578</v>
      </c>
      <c r="G12" s="13">
        <v>16.715</v>
      </c>
      <c r="H12" s="13">
        <v>15.42</v>
      </c>
      <c r="I12" s="13">
        <v>12.568</v>
      </c>
      <c r="J12" s="13">
        <v>9.97</v>
      </c>
      <c r="K12" s="13">
        <v>11.407</v>
      </c>
      <c r="L12" s="13">
        <v>20.031</v>
      </c>
      <c r="M12" s="13">
        <v>14.287</v>
      </c>
      <c r="N12" s="13">
        <v>18.679</v>
      </c>
      <c r="O12" s="13">
        <v>25.996</v>
      </c>
      <c r="P12" s="13">
        <v>43.496</v>
      </c>
      <c r="Q12" s="53">
        <v>26.259</v>
      </c>
      <c r="R12" s="24">
        <v>37.655</v>
      </c>
      <c r="S12" s="2"/>
      <c r="T12" s="25" t="s">
        <v>53</v>
      </c>
      <c r="U12" s="11">
        <v>3150.2629618230226</v>
      </c>
      <c r="V12" s="11">
        <v>2951.493256505088</v>
      </c>
      <c r="W12" s="14">
        <v>2732.348</v>
      </c>
      <c r="X12" s="14">
        <v>3134.651</v>
      </c>
      <c r="Y12" s="14">
        <v>3115.312</v>
      </c>
      <c r="Z12" s="14">
        <v>3106.528</v>
      </c>
      <c r="AA12" s="14">
        <v>3154.157</v>
      </c>
      <c r="AB12" s="14">
        <v>3503.031</v>
      </c>
      <c r="AC12" s="14">
        <v>3686.642</v>
      </c>
      <c r="AD12" s="14">
        <v>3333.674</v>
      </c>
      <c r="AE12" s="14">
        <v>3366.492</v>
      </c>
      <c r="AF12" s="14">
        <v>3372.994</v>
      </c>
      <c r="AG12" s="14">
        <v>3393.462</v>
      </c>
      <c r="AH12" s="14">
        <v>3429.808</v>
      </c>
      <c r="AI12" s="14">
        <v>3441.228</v>
      </c>
      <c r="AJ12" s="14">
        <v>3400.323</v>
      </c>
      <c r="AK12" s="26">
        <v>3426.711</v>
      </c>
      <c r="AM12" s="6"/>
      <c r="AN12" s="6"/>
      <c r="AO12" s="6"/>
    </row>
    <row r="13" spans="1:37" ht="16.5" customHeight="1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54"/>
      <c r="R13" s="26"/>
      <c r="T13" s="21" t="s">
        <v>7</v>
      </c>
      <c r="U13" s="11">
        <v>-586.7496505895828</v>
      </c>
      <c r="V13" s="11">
        <v>-401.684402083512</v>
      </c>
      <c r="W13" s="14">
        <v>-227.838</v>
      </c>
      <c r="X13" s="14">
        <v>196.37</v>
      </c>
      <c r="Y13" s="14">
        <v>978.463</v>
      </c>
      <c r="Z13" s="14">
        <v>1406.008</v>
      </c>
      <c r="AA13" s="14">
        <v>1309.761</v>
      </c>
      <c r="AB13" s="14">
        <v>1370.235</v>
      </c>
      <c r="AC13" s="14">
        <v>1871.265</v>
      </c>
      <c r="AD13" s="14">
        <v>3125.112</v>
      </c>
      <c r="AE13" s="14">
        <v>3790.483</v>
      </c>
      <c r="AF13" s="14">
        <v>3990.574</v>
      </c>
      <c r="AG13" s="14">
        <v>5601.219</v>
      </c>
      <c r="AH13" s="14">
        <v>5438.097</v>
      </c>
      <c r="AI13" s="14">
        <v>4874.071</v>
      </c>
      <c r="AJ13" s="14">
        <v>5167.889</v>
      </c>
      <c r="AK13" s="26">
        <v>8578.056</v>
      </c>
    </row>
    <row r="14" spans="1:37" ht="16.5" customHeight="1">
      <c r="A14" s="21" t="s">
        <v>11</v>
      </c>
      <c r="B14" s="11">
        <f aca="true" t="shared" si="5" ref="B14:G14">SUM(B15:B20)</f>
        <v>33988.60896811662</v>
      </c>
      <c r="C14" s="11">
        <f t="shared" si="5"/>
        <v>35323.328842715695</v>
      </c>
      <c r="D14" s="11">
        <f t="shared" si="5"/>
        <v>36663.231</v>
      </c>
      <c r="E14" s="11">
        <f t="shared" si="5"/>
        <v>37765.202</v>
      </c>
      <c r="F14" s="11">
        <f t="shared" si="5"/>
        <v>39077.017</v>
      </c>
      <c r="G14" s="11">
        <f t="shared" si="5"/>
        <v>40397.221000000005</v>
      </c>
      <c r="H14" s="11">
        <f aca="true" t="shared" si="6" ref="H14:M14">SUM(H15:H20)</f>
        <v>41642.828</v>
      </c>
      <c r="I14" s="11">
        <f t="shared" si="6"/>
        <v>43016.34300000001</v>
      </c>
      <c r="J14" s="11">
        <f t="shared" si="6"/>
        <v>44618.19799999999</v>
      </c>
      <c r="K14" s="11">
        <f t="shared" si="6"/>
        <v>46673.898</v>
      </c>
      <c r="L14" s="11">
        <f t="shared" si="6"/>
        <v>48673.42800000001</v>
      </c>
      <c r="M14" s="11">
        <f t="shared" si="6"/>
        <v>50901.997</v>
      </c>
      <c r="N14" s="11">
        <f>SUM(N15:N20)</f>
        <v>53194.740000000005</v>
      </c>
      <c r="O14" s="11">
        <f>SUM(O15:O20)</f>
        <v>55251.009999999995</v>
      </c>
      <c r="P14" s="11">
        <f>SUM(P15:P20)</f>
        <v>57324.202000000005</v>
      </c>
      <c r="Q14" s="52">
        <f>SUM(Q15:Q20)</f>
        <v>59003.862</v>
      </c>
      <c r="R14" s="22">
        <f>SUM(R15:R20)</f>
        <v>60729.159</v>
      </c>
      <c r="S14" s="2"/>
      <c r="T14" s="21" t="s">
        <v>9</v>
      </c>
      <c r="U14" s="11">
        <v>306.4895311425174</v>
      </c>
      <c r="V14" s="11">
        <v>333.4360961564013</v>
      </c>
      <c r="W14" s="14">
        <v>409.544</v>
      </c>
      <c r="X14" s="14">
        <v>732.4</v>
      </c>
      <c r="Y14" s="14">
        <v>58.121</v>
      </c>
      <c r="Z14" s="14">
        <v>-99.497</v>
      </c>
      <c r="AA14" s="14">
        <v>-100.3</v>
      </c>
      <c r="AB14" s="14">
        <v>518.188</v>
      </c>
      <c r="AC14" s="14">
        <v>530.738</v>
      </c>
      <c r="AD14" s="14">
        <v>669.181</v>
      </c>
      <c r="AE14" s="14">
        <v>301.52</v>
      </c>
      <c r="AF14" s="14">
        <v>1468.754</v>
      </c>
      <c r="AG14" s="14">
        <v>478.278</v>
      </c>
      <c r="AH14" s="14">
        <v>-395.455</v>
      </c>
      <c r="AI14" s="14">
        <v>301.381</v>
      </c>
      <c r="AJ14" s="14">
        <v>658.403</v>
      </c>
      <c r="AK14" s="26">
        <v>675.476</v>
      </c>
    </row>
    <row r="15" spans="1:37" ht="16.5" customHeight="1">
      <c r="A15" s="23" t="s">
        <v>12</v>
      </c>
      <c r="B15" s="12">
        <v>5928.905113417528</v>
      </c>
      <c r="C15" s="12">
        <v>6276.035743298132</v>
      </c>
      <c r="D15" s="13">
        <v>6496.466</v>
      </c>
      <c r="E15" s="13">
        <v>6618.062</v>
      </c>
      <c r="F15" s="13">
        <v>6751.55</v>
      </c>
      <c r="G15" s="13">
        <v>6899.386</v>
      </c>
      <c r="H15" s="13">
        <v>7004.318</v>
      </c>
      <c r="I15" s="13">
        <v>6994.103</v>
      </c>
      <c r="J15" s="13">
        <v>7202.353</v>
      </c>
      <c r="K15" s="13">
        <v>7356.539</v>
      </c>
      <c r="L15" s="13">
        <v>7526.03</v>
      </c>
      <c r="M15" s="13">
        <v>7693.124</v>
      </c>
      <c r="N15" s="13">
        <v>7885.323</v>
      </c>
      <c r="O15" s="13">
        <v>8157.346</v>
      </c>
      <c r="P15" s="13">
        <v>8199.215</v>
      </c>
      <c r="Q15" s="53">
        <v>8421.991</v>
      </c>
      <c r="R15" s="24">
        <v>8599.22</v>
      </c>
      <c r="S15" s="2"/>
      <c r="T15" s="19" t="s">
        <v>73</v>
      </c>
      <c r="U15" s="16">
        <v>386.8352582441517</v>
      </c>
      <c r="V15" s="16">
        <v>402.50818654732046</v>
      </c>
      <c r="W15" s="16">
        <v>327.775</v>
      </c>
      <c r="X15" s="16">
        <v>288.505</v>
      </c>
      <c r="Y15" s="16">
        <v>303.44</v>
      </c>
      <c r="Z15" s="16">
        <v>323.734</v>
      </c>
      <c r="AA15" s="16">
        <v>328.446</v>
      </c>
      <c r="AB15" s="16">
        <v>344.758</v>
      </c>
      <c r="AC15" s="16">
        <v>369.763</v>
      </c>
      <c r="AD15" s="16">
        <v>378.569</v>
      </c>
      <c r="AE15" s="16">
        <v>401.729</v>
      </c>
      <c r="AF15" s="16">
        <v>445.46</v>
      </c>
      <c r="AG15" s="16">
        <v>455.191</v>
      </c>
      <c r="AH15" s="16">
        <v>472.406</v>
      </c>
      <c r="AI15" s="16">
        <v>511.519</v>
      </c>
      <c r="AJ15" s="16">
        <v>585.841</v>
      </c>
      <c r="AK15" s="31">
        <v>657.398</v>
      </c>
    </row>
    <row r="16" spans="1:37" ht="16.5" customHeight="1">
      <c r="A16" s="23" t="s">
        <v>14</v>
      </c>
      <c r="B16" s="12">
        <v>18799.47525366944</v>
      </c>
      <c r="C16" s="12">
        <v>19429.79583667607</v>
      </c>
      <c r="D16" s="13">
        <v>20109.695</v>
      </c>
      <c r="E16" s="13">
        <v>20813.754</v>
      </c>
      <c r="F16" s="13">
        <v>21685.374</v>
      </c>
      <c r="G16" s="13">
        <v>22600.889</v>
      </c>
      <c r="H16" s="13">
        <v>23394.06</v>
      </c>
      <c r="I16" s="13">
        <v>23895.394</v>
      </c>
      <c r="J16" s="13">
        <v>24653.461</v>
      </c>
      <c r="K16" s="13">
        <v>25285.928</v>
      </c>
      <c r="L16" s="13">
        <v>26296.454</v>
      </c>
      <c r="M16" s="13">
        <v>27241.152</v>
      </c>
      <c r="N16" s="13">
        <v>28151.865</v>
      </c>
      <c r="O16" s="13">
        <v>28958.689</v>
      </c>
      <c r="P16" s="13">
        <v>30063.558</v>
      </c>
      <c r="Q16" s="53">
        <v>30887.518</v>
      </c>
      <c r="R16" s="24">
        <v>32057.839</v>
      </c>
      <c r="S16" s="2"/>
      <c r="T16" s="30" t="s">
        <v>74</v>
      </c>
      <c r="U16" s="16">
        <v>3.8602492881446016</v>
      </c>
      <c r="V16" s="16">
        <v>2.1455733778694963</v>
      </c>
      <c r="W16" s="39">
        <v>1.375</v>
      </c>
      <c r="X16" s="39">
        <v>1.897</v>
      </c>
      <c r="Y16" s="39">
        <v>2.414</v>
      </c>
      <c r="Z16" s="39">
        <v>0.726</v>
      </c>
      <c r="AA16" s="39">
        <v>0.703</v>
      </c>
      <c r="AB16" s="39">
        <v>1.57</v>
      </c>
      <c r="AC16" s="39">
        <v>11.119</v>
      </c>
      <c r="AD16" s="39">
        <v>9.715</v>
      </c>
      <c r="AE16" s="39">
        <v>8.411</v>
      </c>
      <c r="AF16" s="39">
        <v>6.702</v>
      </c>
      <c r="AG16" s="39">
        <v>5.4</v>
      </c>
      <c r="AH16" s="39">
        <v>6.309</v>
      </c>
      <c r="AI16" s="39">
        <v>5.474</v>
      </c>
      <c r="AJ16" s="39">
        <v>4.599</v>
      </c>
      <c r="AK16" s="100">
        <v>4.406</v>
      </c>
    </row>
    <row r="17" spans="1:37" ht="16.5" customHeight="1">
      <c r="A17" s="23" t="s">
        <v>15</v>
      </c>
      <c r="B17" s="12">
        <v>6860.6857358137695</v>
      </c>
      <c r="C17" s="12">
        <v>7014.626631212652</v>
      </c>
      <c r="D17" s="13">
        <v>7265.582</v>
      </c>
      <c r="E17" s="13">
        <v>7323.536</v>
      </c>
      <c r="F17" s="13">
        <v>7489.97</v>
      </c>
      <c r="G17" s="13">
        <v>7695.765</v>
      </c>
      <c r="H17" s="13">
        <v>7914.455</v>
      </c>
      <c r="I17" s="13">
        <v>8096.825</v>
      </c>
      <c r="J17" s="13">
        <v>8690.363</v>
      </c>
      <c r="K17" s="13">
        <v>9642.863</v>
      </c>
      <c r="L17" s="13">
        <v>10354.841</v>
      </c>
      <c r="M17" s="13">
        <v>11165.978</v>
      </c>
      <c r="N17" s="13">
        <v>11881.434</v>
      </c>
      <c r="O17" s="13">
        <v>12381.888</v>
      </c>
      <c r="P17" s="13">
        <v>13012.519</v>
      </c>
      <c r="Q17" s="53">
        <v>12505.088</v>
      </c>
      <c r="R17" s="24">
        <v>12739.88</v>
      </c>
      <c r="S17" s="2"/>
      <c r="T17" s="19" t="s">
        <v>54</v>
      </c>
      <c r="U17" s="10">
        <f aca="true" t="shared" si="7" ref="U17:Z17">U18+U19</f>
        <v>1137.7117696229059</v>
      </c>
      <c r="V17" s="10">
        <f t="shared" si="7"/>
        <v>1396.484704149028</v>
      </c>
      <c r="W17" s="10">
        <f t="shared" si="7"/>
        <v>1385.632</v>
      </c>
      <c r="X17" s="10">
        <f t="shared" si="7"/>
        <v>1514.875</v>
      </c>
      <c r="Y17" s="10">
        <f t="shared" si="7"/>
        <v>1574.789</v>
      </c>
      <c r="Z17" s="10">
        <f t="shared" si="7"/>
        <v>1650.987</v>
      </c>
      <c r="AA17" s="10">
        <f aca="true" t="shared" si="8" ref="AA17:AF17">AA18+AA19</f>
        <v>1721.392</v>
      </c>
      <c r="AB17" s="10">
        <f t="shared" si="8"/>
        <v>1869.786</v>
      </c>
      <c r="AC17" s="10">
        <f t="shared" si="8"/>
        <v>2023.979</v>
      </c>
      <c r="AD17" s="10">
        <f t="shared" si="8"/>
        <v>2195.9790000000003</v>
      </c>
      <c r="AE17" s="10">
        <f t="shared" si="8"/>
        <v>2412.112</v>
      </c>
      <c r="AF17" s="10">
        <f t="shared" si="8"/>
        <v>2679.832</v>
      </c>
      <c r="AG17" s="10">
        <f>AG18+AG19</f>
        <v>2826.395</v>
      </c>
      <c r="AH17" s="10">
        <f>AH18+AH19</f>
        <v>2930.6490000000003</v>
      </c>
      <c r="AI17" s="10">
        <f>AI18+AI19</f>
        <v>3032.674</v>
      </c>
      <c r="AJ17" s="10">
        <f>AJ18+AJ19</f>
        <v>3166.011</v>
      </c>
      <c r="AK17" s="20">
        <f>AK18+AK19</f>
        <v>52.694</v>
      </c>
    </row>
    <row r="18" spans="1:37" ht="16.5" customHeight="1">
      <c r="A18" s="23" t="s">
        <v>16</v>
      </c>
      <c r="B18" s="12">
        <v>1257.2854805044965</v>
      </c>
      <c r="C18" s="12">
        <v>1346.293390382678</v>
      </c>
      <c r="D18" s="13">
        <v>1486.952</v>
      </c>
      <c r="E18" s="13">
        <v>1568.77</v>
      </c>
      <c r="F18" s="13">
        <v>1633.551</v>
      </c>
      <c r="G18" s="13">
        <v>1666.103</v>
      </c>
      <c r="H18" s="13">
        <v>1676.473</v>
      </c>
      <c r="I18" s="13">
        <v>1927.512</v>
      </c>
      <c r="J18" s="13">
        <v>1906.342</v>
      </c>
      <c r="K18" s="13">
        <v>1967.663</v>
      </c>
      <c r="L18" s="13">
        <v>2097.507</v>
      </c>
      <c r="M18" s="13">
        <v>2219.381</v>
      </c>
      <c r="N18" s="13">
        <v>2370.164</v>
      </c>
      <c r="O18" s="13">
        <v>2567.909</v>
      </c>
      <c r="P18" s="13">
        <v>2661.778</v>
      </c>
      <c r="Q18" s="53">
        <v>3319.203</v>
      </c>
      <c r="R18" s="24">
        <v>3286.809</v>
      </c>
      <c r="S18" s="2"/>
      <c r="T18" s="25" t="s">
        <v>56</v>
      </c>
      <c r="U18" s="11">
        <v>463.3254453195823</v>
      </c>
      <c r="V18" s="11">
        <v>653.10163764584</v>
      </c>
      <c r="W18" s="14">
        <v>863.558</v>
      </c>
      <c r="X18" s="14">
        <v>749.27</v>
      </c>
      <c r="Y18" s="14">
        <v>782.609</v>
      </c>
      <c r="Z18" s="14">
        <v>922.204</v>
      </c>
      <c r="AA18" s="14">
        <v>1020.08</v>
      </c>
      <c r="AB18" s="14">
        <v>1044.199</v>
      </c>
      <c r="AC18" s="14">
        <v>1111.038</v>
      </c>
      <c r="AD18" s="14">
        <v>1508.817</v>
      </c>
      <c r="AE18" s="14">
        <v>1700.491</v>
      </c>
      <c r="AF18" s="14">
        <v>1840.46</v>
      </c>
      <c r="AG18" s="14">
        <v>1954.481</v>
      </c>
      <c r="AH18" s="14">
        <v>2008.294</v>
      </c>
      <c r="AI18" s="14">
        <v>2036.481</v>
      </c>
      <c r="AJ18" s="14">
        <v>2181.183</v>
      </c>
      <c r="AK18" s="26">
        <v>34.542</v>
      </c>
    </row>
    <row r="19" spans="1:37" ht="16.5" customHeight="1">
      <c r="A19" s="23" t="s">
        <v>17</v>
      </c>
      <c r="B19" s="12">
        <v>242.30010444470233</v>
      </c>
      <c r="C19" s="12">
        <v>220.25739480265668</v>
      </c>
      <c r="D19" s="13">
        <v>218.049</v>
      </c>
      <c r="E19" s="13">
        <v>222.797</v>
      </c>
      <c r="F19" s="13">
        <v>219.019</v>
      </c>
      <c r="G19" s="13">
        <v>234.62</v>
      </c>
      <c r="H19" s="13">
        <v>262.232</v>
      </c>
      <c r="I19" s="13">
        <v>306.853</v>
      </c>
      <c r="J19" s="13">
        <v>270.318</v>
      </c>
      <c r="K19" s="13">
        <v>308.208</v>
      </c>
      <c r="L19" s="13">
        <v>279.535</v>
      </c>
      <c r="M19" s="13">
        <v>288.557</v>
      </c>
      <c r="N19" s="13">
        <v>397.44</v>
      </c>
      <c r="O19" s="13">
        <v>427.573</v>
      </c>
      <c r="P19" s="13">
        <v>425.088</v>
      </c>
      <c r="Q19" s="53">
        <v>679.603</v>
      </c>
      <c r="R19" s="24">
        <v>676.515</v>
      </c>
      <c r="S19" s="2"/>
      <c r="T19" s="25" t="s">
        <v>13</v>
      </c>
      <c r="U19" s="11">
        <v>674.3863243033236</v>
      </c>
      <c r="V19" s="11">
        <v>743.3830665031879</v>
      </c>
      <c r="W19" s="14">
        <v>522.074</v>
      </c>
      <c r="X19" s="14">
        <v>765.605</v>
      </c>
      <c r="Y19" s="14">
        <v>792.18</v>
      </c>
      <c r="Z19" s="14">
        <v>728.783</v>
      </c>
      <c r="AA19" s="14">
        <v>701.312</v>
      </c>
      <c r="AB19" s="14">
        <v>825.587</v>
      </c>
      <c r="AC19" s="14">
        <v>912.941</v>
      </c>
      <c r="AD19" s="14">
        <v>687.162</v>
      </c>
      <c r="AE19" s="14">
        <v>711.621</v>
      </c>
      <c r="AF19" s="14">
        <v>839.372</v>
      </c>
      <c r="AG19" s="14">
        <v>871.914</v>
      </c>
      <c r="AH19" s="14">
        <v>922.355</v>
      </c>
      <c r="AI19" s="14">
        <v>996.193</v>
      </c>
      <c r="AJ19" s="14">
        <v>984.828</v>
      </c>
      <c r="AK19" s="26">
        <v>18.152</v>
      </c>
    </row>
    <row r="20" spans="1:37" ht="16.5" customHeight="1">
      <c r="A20" s="23" t="s">
        <v>77</v>
      </c>
      <c r="B20" s="12">
        <v>899.9572802666788</v>
      </c>
      <c r="C20" s="12">
        <v>1036.3198463435103</v>
      </c>
      <c r="D20" s="13">
        <v>1086.487</v>
      </c>
      <c r="E20" s="13">
        <v>1218.283</v>
      </c>
      <c r="F20" s="13">
        <v>1297.553</v>
      </c>
      <c r="G20" s="13">
        <v>1300.458</v>
      </c>
      <c r="H20" s="13">
        <v>1391.29</v>
      </c>
      <c r="I20" s="13">
        <v>1795.656</v>
      </c>
      <c r="J20" s="13">
        <v>1895.361</v>
      </c>
      <c r="K20" s="13">
        <v>2112.697</v>
      </c>
      <c r="L20" s="13">
        <v>2119.061</v>
      </c>
      <c r="M20" s="13">
        <v>2293.805</v>
      </c>
      <c r="N20" s="13">
        <v>2508.514</v>
      </c>
      <c r="O20" s="13">
        <v>2757.605</v>
      </c>
      <c r="P20" s="13">
        <v>2962.044</v>
      </c>
      <c r="Q20" s="53">
        <v>3190.459</v>
      </c>
      <c r="R20" s="24">
        <v>3368.896</v>
      </c>
      <c r="T20" s="19" t="s">
        <v>55</v>
      </c>
      <c r="U20" s="16">
        <v>809.1388273601392</v>
      </c>
      <c r="V20" s="16">
        <f aca="true" t="shared" si="9" ref="V20:AA20">V21+V22</f>
        <v>792.6622971443371</v>
      </c>
      <c r="W20" s="16">
        <f t="shared" si="9"/>
        <v>782.387</v>
      </c>
      <c r="X20" s="16">
        <f t="shared" si="9"/>
        <v>793.701</v>
      </c>
      <c r="Y20" s="16">
        <f t="shared" si="9"/>
        <v>766.957</v>
      </c>
      <c r="Z20" s="16">
        <f t="shared" si="9"/>
        <v>736.179</v>
      </c>
      <c r="AA20" s="16">
        <f t="shared" si="9"/>
        <v>691.687</v>
      </c>
      <c r="AB20" s="16">
        <f aca="true" t="shared" si="10" ref="AB20:AG20">AB21+AB22</f>
        <v>688.616</v>
      </c>
      <c r="AC20" s="16">
        <f t="shared" si="10"/>
        <v>650.829</v>
      </c>
      <c r="AD20" s="16">
        <f t="shared" si="10"/>
        <v>632.826</v>
      </c>
      <c r="AE20" s="16">
        <f t="shared" si="10"/>
        <v>608.7819999999999</v>
      </c>
      <c r="AF20" s="16">
        <f t="shared" si="10"/>
        <v>588.55</v>
      </c>
      <c r="AG20" s="16">
        <f t="shared" si="10"/>
        <v>592.73</v>
      </c>
      <c r="AH20" s="16">
        <f>AH21+AH22</f>
        <v>563.9069999999999</v>
      </c>
      <c r="AI20" s="16">
        <f>AI21+AI22</f>
        <v>594.9770000000001</v>
      </c>
      <c r="AJ20" s="16">
        <f>AJ21+AJ22</f>
        <v>629.799</v>
      </c>
      <c r="AK20" s="31">
        <f>AK21+AK22</f>
        <v>633.893</v>
      </c>
    </row>
    <row r="21" spans="1:37" ht="16.5" customHeight="1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83"/>
      <c r="R21" s="28"/>
      <c r="T21" s="21" t="s">
        <v>57</v>
      </c>
      <c r="U21" s="11"/>
      <c r="V21" s="11">
        <v>655.7157825868312</v>
      </c>
      <c r="W21" s="14">
        <v>631.294</v>
      </c>
      <c r="X21" s="14">
        <v>611.444</v>
      </c>
      <c r="Y21" s="14">
        <v>563.239</v>
      </c>
      <c r="Z21" s="14">
        <v>520.505</v>
      </c>
      <c r="AA21" s="14">
        <v>461.725</v>
      </c>
      <c r="AB21" s="14">
        <v>416.357</v>
      </c>
      <c r="AC21" s="14">
        <v>391.916</v>
      </c>
      <c r="AD21" s="14">
        <v>366.259</v>
      </c>
      <c r="AE21" s="14">
        <v>346.587</v>
      </c>
      <c r="AF21" s="14">
        <v>325.127</v>
      </c>
      <c r="AG21" s="14">
        <v>287.311</v>
      </c>
      <c r="AH21" s="14">
        <v>262.387</v>
      </c>
      <c r="AI21" s="14">
        <v>239.824</v>
      </c>
      <c r="AJ21" s="14">
        <v>198.112</v>
      </c>
      <c r="AK21" s="26">
        <v>179.908</v>
      </c>
    </row>
    <row r="22" spans="1:37" ht="16.5" customHeight="1">
      <c r="A22" s="21" t="s">
        <v>47</v>
      </c>
      <c r="B22" s="11">
        <f aca="true" t="shared" si="11" ref="B22:G22">SUM(B23:B27)</f>
        <v>2482.5555482674117</v>
      </c>
      <c r="C22" s="11">
        <f t="shared" si="11"/>
        <v>2178.4045020544154</v>
      </c>
      <c r="D22" s="11">
        <f t="shared" si="11"/>
        <v>2195.632</v>
      </c>
      <c r="E22" s="11">
        <f t="shared" si="11"/>
        <v>2430.1569999999997</v>
      </c>
      <c r="F22" s="11">
        <f t="shared" si="11"/>
        <v>2447.021</v>
      </c>
      <c r="G22" s="11">
        <f t="shared" si="11"/>
        <v>2501.569</v>
      </c>
      <c r="H22" s="11">
        <f aca="true" t="shared" si="12" ref="H22:M22">SUM(H23:H27)</f>
        <v>2586.706</v>
      </c>
      <c r="I22" s="11">
        <f t="shared" si="12"/>
        <v>2431.3239999999996</v>
      </c>
      <c r="J22" s="11">
        <f t="shared" si="12"/>
        <v>2533.211</v>
      </c>
      <c r="K22" s="11">
        <f t="shared" si="12"/>
        <v>2718.412</v>
      </c>
      <c r="L22" s="11">
        <f t="shared" si="12"/>
        <v>2853.419</v>
      </c>
      <c r="M22" s="11">
        <f t="shared" si="12"/>
        <v>3408.656</v>
      </c>
      <c r="N22" s="11">
        <f>SUM(N23:N27)</f>
        <v>3638.798</v>
      </c>
      <c r="O22" s="11">
        <f>SUM(O23:O27)</f>
        <v>3718.283999999999</v>
      </c>
      <c r="P22" s="11">
        <f>SUM(P23:P27)</f>
        <v>3901.563</v>
      </c>
      <c r="Q22" s="52">
        <f>SUM(Q23:Q27)</f>
        <v>4230.733</v>
      </c>
      <c r="R22" s="22">
        <f>SUM(R23:R27)</f>
        <v>4410.712</v>
      </c>
      <c r="T22" s="25" t="s">
        <v>58</v>
      </c>
      <c r="U22" s="11"/>
      <c r="V22" s="11">
        <v>136.94651455750596</v>
      </c>
      <c r="W22" s="14">
        <v>151.093</v>
      </c>
      <c r="X22" s="14">
        <v>182.257</v>
      </c>
      <c r="Y22" s="14">
        <v>203.718</v>
      </c>
      <c r="Z22" s="14">
        <v>215.674</v>
      </c>
      <c r="AA22" s="14">
        <v>229.962</v>
      </c>
      <c r="AB22" s="14">
        <v>272.259</v>
      </c>
      <c r="AC22" s="14">
        <v>258.913</v>
      </c>
      <c r="AD22" s="14">
        <v>266.567</v>
      </c>
      <c r="AE22" s="14">
        <v>262.195</v>
      </c>
      <c r="AF22" s="14">
        <v>263.423</v>
      </c>
      <c r="AG22" s="14">
        <v>305.419</v>
      </c>
      <c r="AH22" s="14">
        <v>301.52</v>
      </c>
      <c r="AI22" s="14">
        <v>355.153</v>
      </c>
      <c r="AJ22" s="14">
        <v>431.687</v>
      </c>
      <c r="AK22" s="26">
        <v>453.985</v>
      </c>
    </row>
    <row r="23" spans="1:37" ht="16.5" customHeight="1">
      <c r="A23" s="23" t="s">
        <v>71</v>
      </c>
      <c r="B23" s="12">
        <v>310.8390391087385</v>
      </c>
      <c r="C23" s="12">
        <v>352.7842670286071</v>
      </c>
      <c r="D23" s="12">
        <v>428.217</v>
      </c>
      <c r="E23" s="12">
        <v>417.929</v>
      </c>
      <c r="F23" s="12">
        <v>509.341</v>
      </c>
      <c r="G23" s="12">
        <v>512.136</v>
      </c>
      <c r="H23" s="12">
        <v>531.585</v>
      </c>
      <c r="I23" s="12">
        <v>520.538</v>
      </c>
      <c r="J23" s="12">
        <v>552.546</v>
      </c>
      <c r="K23" s="12">
        <v>734.322</v>
      </c>
      <c r="L23" s="12">
        <v>776.034</v>
      </c>
      <c r="M23" s="12">
        <v>874.316</v>
      </c>
      <c r="N23" s="12">
        <v>945.01</v>
      </c>
      <c r="O23" s="12">
        <v>1016.954</v>
      </c>
      <c r="P23" s="12">
        <v>1135.508</v>
      </c>
      <c r="Q23" s="65">
        <v>1313.733</v>
      </c>
      <c r="R23" s="29">
        <v>1398.162</v>
      </c>
      <c r="T23" s="30" t="s">
        <v>18</v>
      </c>
      <c r="U23" s="16">
        <f>9588.199/5.94573</f>
        <v>1612.6193083103337</v>
      </c>
      <c r="V23" s="16">
        <f>9757.543/5.94573</f>
        <v>1641.1009245290315</v>
      </c>
      <c r="W23" s="16">
        <v>1463.073</v>
      </c>
      <c r="X23" s="16">
        <v>1402.482</v>
      </c>
      <c r="Y23" s="16">
        <v>1271.492</v>
      </c>
      <c r="Z23" s="16">
        <v>1270.527</v>
      </c>
      <c r="AA23" s="16">
        <v>1224.698</v>
      </c>
      <c r="AB23" s="16">
        <v>1237.818</v>
      </c>
      <c r="AC23" s="16">
        <v>1170.3</v>
      </c>
      <c r="AD23" s="16">
        <v>1179.418</v>
      </c>
      <c r="AE23" s="16">
        <v>1231.731</v>
      </c>
      <c r="AF23" s="16">
        <v>1268.74</v>
      </c>
      <c r="AG23" s="16">
        <v>1152.084</v>
      </c>
      <c r="AH23" s="16">
        <v>1216.108</v>
      </c>
      <c r="AI23" s="16">
        <v>1019.591</v>
      </c>
      <c r="AJ23" s="16">
        <v>987.46</v>
      </c>
      <c r="AK23" s="31">
        <v>950.022</v>
      </c>
    </row>
    <row r="24" spans="1:37" ht="16.5" customHeight="1">
      <c r="A24" s="23" t="s">
        <v>72</v>
      </c>
      <c r="B24" s="12">
        <v>1117.817660741406</v>
      </c>
      <c r="C24" s="12">
        <v>1133.0490957376135</v>
      </c>
      <c r="D24" s="13">
        <v>1160.419</v>
      </c>
      <c r="E24" s="13">
        <v>1304.233</v>
      </c>
      <c r="F24" s="13">
        <v>1233.622</v>
      </c>
      <c r="G24" s="13">
        <v>1246.084</v>
      </c>
      <c r="H24" s="13">
        <v>1307.085</v>
      </c>
      <c r="I24" s="13">
        <v>1239.71</v>
      </c>
      <c r="J24" s="13">
        <v>1267.082</v>
      </c>
      <c r="K24" s="13">
        <v>1290.218</v>
      </c>
      <c r="L24" s="13">
        <v>1423.936</v>
      </c>
      <c r="M24" s="13">
        <v>1431.298</v>
      </c>
      <c r="N24" s="13">
        <v>1444.274</v>
      </c>
      <c r="O24" s="13">
        <v>1530.254</v>
      </c>
      <c r="P24" s="13">
        <v>1604.004</v>
      </c>
      <c r="Q24" s="53">
        <v>1723.08</v>
      </c>
      <c r="R24" s="24">
        <v>1822.442</v>
      </c>
      <c r="T24" s="19" t="s">
        <v>22</v>
      </c>
      <c r="U24" s="10">
        <f aca="true" t="shared" si="13" ref="U24:AK24">U25+U28</f>
        <v>17008.685560898324</v>
      </c>
      <c r="V24" s="10">
        <f t="shared" si="13"/>
        <v>17856.794203571302</v>
      </c>
      <c r="W24" s="10">
        <f t="shared" si="13"/>
        <v>18840.174</v>
      </c>
      <c r="X24" s="10">
        <f t="shared" si="13"/>
        <v>19678.168</v>
      </c>
      <c r="Y24" s="10">
        <f t="shared" si="13"/>
        <v>20832.186</v>
      </c>
      <c r="Z24" s="10">
        <f t="shared" si="13"/>
        <v>22297.155</v>
      </c>
      <c r="AA24" s="10">
        <f t="shared" si="13"/>
        <v>23893.646</v>
      </c>
      <c r="AB24" s="10">
        <f t="shared" si="13"/>
        <v>25006.411000000004</v>
      </c>
      <c r="AC24" s="10">
        <f t="shared" si="13"/>
        <v>26284.236999999997</v>
      </c>
      <c r="AD24" s="10">
        <f t="shared" si="13"/>
        <v>27889.469</v>
      </c>
      <c r="AE24" s="10">
        <f t="shared" si="13"/>
        <v>29940.222999999998</v>
      </c>
      <c r="AF24" s="10">
        <f t="shared" si="13"/>
        <v>32399.490999999998</v>
      </c>
      <c r="AG24" s="10">
        <f t="shared" si="13"/>
        <v>34021.666</v>
      </c>
      <c r="AH24" s="10">
        <f t="shared" si="13"/>
        <v>36378.694</v>
      </c>
      <c r="AI24" s="10">
        <f t="shared" si="13"/>
        <v>39420.811</v>
      </c>
      <c r="AJ24" s="10">
        <f t="shared" si="13"/>
        <v>41013.005999999994</v>
      </c>
      <c r="AK24" s="20">
        <f t="shared" si="13"/>
        <v>42755.771</v>
      </c>
    </row>
    <row r="25" spans="1:37" ht="16.5" customHeight="1">
      <c r="A25" s="23" t="s">
        <v>23</v>
      </c>
      <c r="B25" s="12">
        <v>63.075181685007564</v>
      </c>
      <c r="C25" s="12">
        <v>59.49832905295061</v>
      </c>
      <c r="D25" s="13">
        <v>54.861</v>
      </c>
      <c r="E25" s="13">
        <v>155.765</v>
      </c>
      <c r="F25" s="13">
        <v>205.11</v>
      </c>
      <c r="G25" s="13">
        <v>233.867</v>
      </c>
      <c r="H25" s="13">
        <v>280.275</v>
      </c>
      <c r="I25" s="13">
        <v>232.321</v>
      </c>
      <c r="J25" s="13">
        <v>285.245</v>
      </c>
      <c r="K25" s="13">
        <v>271.914</v>
      </c>
      <c r="L25" s="13">
        <v>255.657</v>
      </c>
      <c r="M25" s="13">
        <v>201.469</v>
      </c>
      <c r="N25" s="13">
        <v>142.94</v>
      </c>
      <c r="O25" s="13">
        <v>49.959</v>
      </c>
      <c r="P25" s="13">
        <v>2.599</v>
      </c>
      <c r="Q25" s="53">
        <v>2.386</v>
      </c>
      <c r="R25" s="24">
        <v>5.743</v>
      </c>
      <c r="T25" s="21" t="s">
        <v>24</v>
      </c>
      <c r="U25" s="11">
        <f aca="true" t="shared" si="14" ref="U25:AK25">U26+U27</f>
        <v>11742.563654925467</v>
      </c>
      <c r="V25" s="11">
        <f t="shared" si="14"/>
        <v>12261.154643752745</v>
      </c>
      <c r="W25" s="11">
        <f t="shared" si="14"/>
        <v>12867.119</v>
      </c>
      <c r="X25" s="11">
        <f t="shared" si="14"/>
        <v>13740.146</v>
      </c>
      <c r="Y25" s="11">
        <f t="shared" si="14"/>
        <v>14620.954</v>
      </c>
      <c r="Z25" s="11">
        <f t="shared" si="14"/>
        <v>15820.418</v>
      </c>
      <c r="AA25" s="11">
        <f t="shared" si="14"/>
        <v>16807.78</v>
      </c>
      <c r="AB25" s="11">
        <f t="shared" si="14"/>
        <v>17531.260000000002</v>
      </c>
      <c r="AC25" s="11">
        <f t="shared" si="14"/>
        <v>18419.142999999996</v>
      </c>
      <c r="AD25" s="11">
        <f t="shared" si="14"/>
        <v>19036.716</v>
      </c>
      <c r="AE25" s="11">
        <f t="shared" si="14"/>
        <v>20760.989999999998</v>
      </c>
      <c r="AF25" s="11">
        <f t="shared" si="14"/>
        <v>22506.941</v>
      </c>
      <c r="AG25" s="11">
        <f t="shared" si="14"/>
        <v>23517.529</v>
      </c>
      <c r="AH25" s="11">
        <f t="shared" si="14"/>
        <v>24707.583</v>
      </c>
      <c r="AI25" s="11">
        <f t="shared" si="14"/>
        <v>27166.953</v>
      </c>
      <c r="AJ25" s="11">
        <f t="shared" si="14"/>
        <v>28329.878999999997</v>
      </c>
      <c r="AK25" s="22">
        <f t="shared" si="14"/>
        <v>29617.425</v>
      </c>
    </row>
    <row r="26" spans="1:37" ht="16.5" customHeight="1">
      <c r="A26" s="23" t="s">
        <v>48</v>
      </c>
      <c r="B26" s="12">
        <v>575.8100351008202</v>
      </c>
      <c r="C26" s="12">
        <v>419.6645323618799</v>
      </c>
      <c r="D26" s="13">
        <v>375.45</v>
      </c>
      <c r="E26" s="13">
        <v>384.101</v>
      </c>
      <c r="F26" s="13">
        <v>370.931</v>
      </c>
      <c r="G26" s="13">
        <v>391.841</v>
      </c>
      <c r="H26" s="13">
        <v>368.993</v>
      </c>
      <c r="I26" s="13">
        <v>356.863</v>
      </c>
      <c r="J26" s="13">
        <v>352.743</v>
      </c>
      <c r="K26" s="13">
        <v>355.275</v>
      </c>
      <c r="L26" s="13">
        <v>340.487</v>
      </c>
      <c r="M26" s="13">
        <v>818.269</v>
      </c>
      <c r="N26" s="13">
        <v>1042.905</v>
      </c>
      <c r="O26" s="13">
        <v>1056.445</v>
      </c>
      <c r="P26" s="13">
        <v>1063.224</v>
      </c>
      <c r="Q26" s="53">
        <v>1094.42</v>
      </c>
      <c r="R26" s="24">
        <v>1090.86</v>
      </c>
      <c r="T26" s="25" t="s">
        <v>117</v>
      </c>
      <c r="U26" s="14">
        <v>10992.250404912433</v>
      </c>
      <c r="V26" s="14">
        <v>11415.663341591362</v>
      </c>
      <c r="W26" s="14">
        <v>11953.827000000001</v>
      </c>
      <c r="X26" s="14">
        <v>12973.386</v>
      </c>
      <c r="Y26" s="14">
        <v>13919.780999999999</v>
      </c>
      <c r="Z26" s="14">
        <v>14976.478</v>
      </c>
      <c r="AA26" s="14">
        <v>15878.088</v>
      </c>
      <c r="AB26" s="14">
        <v>16558.359</v>
      </c>
      <c r="AC26" s="14">
        <v>17374.536999999997</v>
      </c>
      <c r="AD26" s="14">
        <v>17879.174</v>
      </c>
      <c r="AE26" s="14">
        <v>19537.693</v>
      </c>
      <c r="AF26" s="14">
        <v>21143.943</v>
      </c>
      <c r="AG26" s="14">
        <v>22088.799</v>
      </c>
      <c r="AH26" s="14">
        <v>23149.216</v>
      </c>
      <c r="AI26" s="14">
        <v>25523.36</v>
      </c>
      <c r="AJ26" s="14">
        <v>26603.439</v>
      </c>
      <c r="AK26" s="26">
        <v>27552.782</v>
      </c>
    </row>
    <row r="27" spans="1:37" ht="16.5" customHeight="1">
      <c r="A27" s="23" t="s">
        <v>42</v>
      </c>
      <c r="B27" s="12">
        <v>415.01363163143975</v>
      </c>
      <c r="C27" s="12">
        <v>213.40827787336457</v>
      </c>
      <c r="D27" s="13">
        <v>176.685</v>
      </c>
      <c r="E27" s="13">
        <v>168.129</v>
      </c>
      <c r="F27" s="13">
        <v>128.017</v>
      </c>
      <c r="G27" s="13">
        <v>117.641</v>
      </c>
      <c r="H27" s="13">
        <v>98.768</v>
      </c>
      <c r="I27" s="13">
        <v>81.892</v>
      </c>
      <c r="J27" s="13">
        <v>75.595</v>
      </c>
      <c r="K27" s="13">
        <v>66.683</v>
      </c>
      <c r="L27" s="13">
        <v>57.305</v>
      </c>
      <c r="M27" s="13">
        <v>83.304</v>
      </c>
      <c r="N27" s="13">
        <v>63.669</v>
      </c>
      <c r="O27" s="13">
        <v>64.672</v>
      </c>
      <c r="P27" s="13">
        <v>96.228</v>
      </c>
      <c r="Q27" s="53">
        <v>97.114</v>
      </c>
      <c r="R27" s="24">
        <v>93.505</v>
      </c>
      <c r="T27" s="25" t="s">
        <v>116</v>
      </c>
      <c r="U27" s="14">
        <v>750.3132500130346</v>
      </c>
      <c r="V27" s="14">
        <v>845.491302161383</v>
      </c>
      <c r="W27" s="14">
        <v>913.2919999999999</v>
      </c>
      <c r="X27" s="14">
        <v>766.76</v>
      </c>
      <c r="Y27" s="14">
        <v>701.1730000000001</v>
      </c>
      <c r="Z27" s="14">
        <v>843.94</v>
      </c>
      <c r="AA27" s="14">
        <v>929.692</v>
      </c>
      <c r="AB27" s="14">
        <v>972.901</v>
      </c>
      <c r="AC27" s="14">
        <v>1044.606</v>
      </c>
      <c r="AD27" s="14">
        <v>1157.542</v>
      </c>
      <c r="AE27" s="14">
        <v>1223.297</v>
      </c>
      <c r="AF27" s="14">
        <v>1362.998</v>
      </c>
      <c r="AG27" s="14">
        <v>1428.73</v>
      </c>
      <c r="AH27" s="14">
        <v>1558.367</v>
      </c>
      <c r="AI27" s="14">
        <v>1643.593</v>
      </c>
      <c r="AJ27" s="14">
        <v>1726.44</v>
      </c>
      <c r="AK27" s="26">
        <v>2064.643</v>
      </c>
    </row>
    <row r="28" spans="1:37" ht="16.5" customHeight="1">
      <c r="A28" s="19"/>
      <c r="B28" s="10">
        <v>188.9196112167892</v>
      </c>
      <c r="C28" s="11" t="s">
        <v>97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54"/>
      <c r="R28" s="26"/>
      <c r="T28" s="21" t="s">
        <v>33</v>
      </c>
      <c r="U28" s="11">
        <f aca="true" t="shared" si="15" ref="U28:AK28">U29+U30</f>
        <v>5266.121905972857</v>
      </c>
      <c r="V28" s="11">
        <f t="shared" si="15"/>
        <v>5595.639559818558</v>
      </c>
      <c r="W28" s="11">
        <f t="shared" si="15"/>
        <v>5973.054999999999</v>
      </c>
      <c r="X28" s="11">
        <f t="shared" si="15"/>
        <v>5938.022</v>
      </c>
      <c r="Y28" s="11">
        <f t="shared" si="15"/>
        <v>6211.232</v>
      </c>
      <c r="Z28" s="11">
        <f t="shared" si="15"/>
        <v>6476.737</v>
      </c>
      <c r="AA28" s="11">
        <f t="shared" si="15"/>
        <v>7085.866</v>
      </c>
      <c r="AB28" s="11">
        <f t="shared" si="15"/>
        <v>7475.151000000001</v>
      </c>
      <c r="AC28" s="11">
        <f t="shared" si="15"/>
        <v>7865.094</v>
      </c>
      <c r="AD28" s="11">
        <f t="shared" si="15"/>
        <v>8852.753</v>
      </c>
      <c r="AE28" s="11">
        <f t="shared" si="15"/>
        <v>9179.233</v>
      </c>
      <c r="AF28" s="11">
        <f t="shared" si="15"/>
        <v>9892.55</v>
      </c>
      <c r="AG28" s="11">
        <f t="shared" si="15"/>
        <v>10504.137</v>
      </c>
      <c r="AH28" s="11">
        <f t="shared" si="15"/>
        <v>11671.111</v>
      </c>
      <c r="AI28" s="11">
        <f t="shared" si="15"/>
        <v>12253.858</v>
      </c>
      <c r="AJ28" s="11">
        <f t="shared" si="15"/>
        <v>12683.127</v>
      </c>
      <c r="AK28" s="22">
        <f t="shared" si="15"/>
        <v>13138.346</v>
      </c>
    </row>
    <row r="29" spans="1:37" ht="16.5" customHeight="1">
      <c r="A29" s="30" t="s">
        <v>30</v>
      </c>
      <c r="B29" s="16">
        <v>1342.0651459114356</v>
      </c>
      <c r="C29" s="16">
        <v>1214.3787222090475</v>
      </c>
      <c r="D29" s="16">
        <v>1049.071</v>
      </c>
      <c r="E29" s="16">
        <v>960.154</v>
      </c>
      <c r="F29" s="16">
        <v>825.659</v>
      </c>
      <c r="G29" s="16">
        <v>807.617</v>
      </c>
      <c r="H29" s="16">
        <v>734.685</v>
      </c>
      <c r="I29" s="16">
        <v>731.8770000000001</v>
      </c>
      <c r="J29" s="16">
        <v>705.4659999999999</v>
      </c>
      <c r="K29" s="16">
        <v>724.008</v>
      </c>
      <c r="L29" s="16">
        <v>787.264</v>
      </c>
      <c r="M29" s="16">
        <v>838.2</v>
      </c>
      <c r="N29" s="16">
        <v>731.816</v>
      </c>
      <c r="O29" s="16">
        <v>811.331</v>
      </c>
      <c r="P29" s="16">
        <v>760.157</v>
      </c>
      <c r="Q29" s="55">
        <v>712.725</v>
      </c>
      <c r="R29" s="31">
        <v>706.603</v>
      </c>
      <c r="T29" s="25" t="s">
        <v>117</v>
      </c>
      <c r="U29" s="14">
        <v>1179.4136296131844</v>
      </c>
      <c r="V29" s="14">
        <v>1308.883349899844</v>
      </c>
      <c r="W29" s="14">
        <v>1487.325</v>
      </c>
      <c r="X29" s="14">
        <v>1332.9070000000002</v>
      </c>
      <c r="Y29" s="14">
        <v>1563.805</v>
      </c>
      <c r="Z29" s="14">
        <v>1726.2609999999997</v>
      </c>
      <c r="AA29" s="14">
        <v>2118.219</v>
      </c>
      <c r="AB29" s="14">
        <v>2335.317</v>
      </c>
      <c r="AC29" s="14">
        <v>2371.1530000000002</v>
      </c>
      <c r="AD29" s="14">
        <v>2917.168</v>
      </c>
      <c r="AE29" s="14">
        <v>3215.683</v>
      </c>
      <c r="AF29" s="14">
        <v>3435.674</v>
      </c>
      <c r="AG29" s="14">
        <v>3429.104</v>
      </c>
      <c r="AH29" s="14">
        <v>4129.011</v>
      </c>
      <c r="AI29" s="14">
        <v>4664.7</v>
      </c>
      <c r="AJ29" s="14">
        <v>4944.529</v>
      </c>
      <c r="AK29" s="26">
        <v>5233.655</v>
      </c>
    </row>
    <row r="30" spans="1:37" ht="16.5" customHeight="1">
      <c r="A30" s="19" t="s">
        <v>49</v>
      </c>
      <c r="B30" s="10">
        <f aca="true" t="shared" si="16" ref="B30:R30">B31+B32+B35+B36</f>
        <v>5752.667880983496</v>
      </c>
      <c r="C30" s="10">
        <f t="shared" si="16"/>
        <v>6454.279289506923</v>
      </c>
      <c r="D30" s="10">
        <f t="shared" si="16"/>
        <v>6427.606</v>
      </c>
      <c r="E30" s="10">
        <f t="shared" si="16"/>
        <v>6870.839</v>
      </c>
      <c r="F30" s="10">
        <f t="shared" si="16"/>
        <v>6818.504999999999</v>
      </c>
      <c r="G30" s="10">
        <f t="shared" si="16"/>
        <v>6857.942999999999</v>
      </c>
      <c r="H30" s="10">
        <f t="shared" si="16"/>
        <v>7091.650000000001</v>
      </c>
      <c r="I30" s="10">
        <f t="shared" si="16"/>
        <v>8046.973</v>
      </c>
      <c r="J30" s="10">
        <f t="shared" si="16"/>
        <v>8383.329</v>
      </c>
      <c r="K30" s="10">
        <f t="shared" si="16"/>
        <v>8407.288</v>
      </c>
      <c r="L30" s="10">
        <f t="shared" si="16"/>
        <v>8696.241999999998</v>
      </c>
      <c r="M30" s="10">
        <f t="shared" si="16"/>
        <v>9990.23</v>
      </c>
      <c r="N30" s="10">
        <f t="shared" si="16"/>
        <v>9873.890000000001</v>
      </c>
      <c r="O30" s="10">
        <f t="shared" si="16"/>
        <v>9765.542000000001</v>
      </c>
      <c r="P30" s="10">
        <f t="shared" si="16"/>
        <v>10563.828000000001</v>
      </c>
      <c r="Q30" s="51">
        <f t="shared" si="16"/>
        <v>10866.121</v>
      </c>
      <c r="R30" s="20">
        <f t="shared" si="16"/>
        <v>10959.324</v>
      </c>
      <c r="T30" s="25" t="s">
        <v>116</v>
      </c>
      <c r="U30" s="14">
        <v>4086.708276359673</v>
      </c>
      <c r="V30" s="14">
        <v>4286.756209918714</v>
      </c>
      <c r="W30" s="14">
        <v>4485.73</v>
      </c>
      <c r="X30" s="14">
        <v>4605.115</v>
      </c>
      <c r="Y30" s="14">
        <v>4647.427</v>
      </c>
      <c r="Z30" s="14">
        <v>4750.476000000001</v>
      </c>
      <c r="AA30" s="14">
        <v>4967.647</v>
      </c>
      <c r="AB30" s="14">
        <v>5139.834000000001</v>
      </c>
      <c r="AC30" s="14">
        <v>5493.941</v>
      </c>
      <c r="AD30" s="14">
        <v>5935.585</v>
      </c>
      <c r="AE30" s="14">
        <v>5963.55</v>
      </c>
      <c r="AF30" s="14">
        <v>6456.876</v>
      </c>
      <c r="AG30" s="14">
        <v>7075.033</v>
      </c>
      <c r="AH30" s="14">
        <v>7542.1</v>
      </c>
      <c r="AI30" s="14">
        <v>7589.158</v>
      </c>
      <c r="AJ30" s="14">
        <v>7738.598</v>
      </c>
      <c r="AK30" s="26">
        <v>7904.691</v>
      </c>
    </row>
    <row r="31" spans="1:37" ht="16.5" customHeight="1">
      <c r="A31" s="21" t="s">
        <v>34</v>
      </c>
      <c r="B31" s="11">
        <v>244.4698968839823</v>
      </c>
      <c r="C31" s="11">
        <v>268.09710498122183</v>
      </c>
      <c r="D31" s="11">
        <v>270.511</v>
      </c>
      <c r="E31" s="11">
        <v>255.91699999999997</v>
      </c>
      <c r="F31" s="11">
        <v>291.25399999999996</v>
      </c>
      <c r="G31" s="11">
        <v>320.6190000000001</v>
      </c>
      <c r="H31" s="11">
        <v>318.628</v>
      </c>
      <c r="I31" s="11">
        <v>320.592</v>
      </c>
      <c r="J31" s="11">
        <v>342.03</v>
      </c>
      <c r="K31" s="11">
        <v>371.774</v>
      </c>
      <c r="L31" s="11">
        <v>399.015</v>
      </c>
      <c r="M31" s="11">
        <v>474.571</v>
      </c>
      <c r="N31" s="11">
        <v>534.107</v>
      </c>
      <c r="O31" s="11">
        <v>528.265</v>
      </c>
      <c r="P31" s="11">
        <v>491.948</v>
      </c>
      <c r="Q31" s="52">
        <v>540.056</v>
      </c>
      <c r="R31" s="22">
        <v>517.227</v>
      </c>
      <c r="T31" s="19" t="s">
        <v>40</v>
      </c>
      <c r="U31" s="10">
        <f aca="true" t="shared" si="17" ref="U31:AK31">U7+U15+U16+U17+U20+U23+U24</f>
        <v>44181.80627105503</v>
      </c>
      <c r="V31" s="10">
        <f t="shared" si="17"/>
        <v>45384.65436540173</v>
      </c>
      <c r="W31" s="10">
        <f t="shared" si="17"/>
        <v>46542.117000000006</v>
      </c>
      <c r="X31" s="10">
        <f t="shared" si="17"/>
        <v>48200.94600000001</v>
      </c>
      <c r="Y31" s="10">
        <f t="shared" si="17"/>
        <v>49330.56</v>
      </c>
      <c r="Z31" s="10">
        <f t="shared" si="17"/>
        <v>51023.587</v>
      </c>
      <c r="AA31" s="10">
        <f t="shared" si="17"/>
        <v>52635.404</v>
      </c>
      <c r="AB31" s="10">
        <f t="shared" si="17"/>
        <v>54845.935</v>
      </c>
      <c r="AC31" s="10">
        <f t="shared" si="17"/>
        <v>56880.773</v>
      </c>
      <c r="AD31" s="10">
        <f t="shared" si="17"/>
        <v>59374.149000000005</v>
      </c>
      <c r="AE31" s="10">
        <f t="shared" si="17"/>
        <v>62004.30500000001</v>
      </c>
      <c r="AF31" s="10">
        <f t="shared" si="17"/>
        <v>66137.658</v>
      </c>
      <c r="AG31" s="10">
        <f t="shared" si="17"/>
        <v>68448.265</v>
      </c>
      <c r="AH31" s="10">
        <f t="shared" si="17"/>
        <v>70547.394</v>
      </c>
      <c r="AI31" s="10">
        <f t="shared" si="17"/>
        <v>73594.51000000001</v>
      </c>
      <c r="AJ31" s="10">
        <f t="shared" si="17"/>
        <v>75893.99999999999</v>
      </c>
      <c r="AK31" s="20">
        <f t="shared" si="17"/>
        <v>78004.64300000001</v>
      </c>
    </row>
    <row r="32" spans="1:37" ht="16.5" customHeight="1">
      <c r="A32" s="21" t="s">
        <v>39</v>
      </c>
      <c r="B32" s="11">
        <f aca="true" t="shared" si="18" ref="B32:R32">B33+B34</f>
        <v>2143.9121857198356</v>
      </c>
      <c r="C32" s="11">
        <f t="shared" si="18"/>
        <v>2427.0989432752576</v>
      </c>
      <c r="D32" s="11">
        <f t="shared" si="18"/>
        <v>2474.191</v>
      </c>
      <c r="E32" s="11">
        <f t="shared" si="18"/>
        <v>2674.524</v>
      </c>
      <c r="F32" s="11">
        <f t="shared" si="18"/>
        <v>2537.3699999999994</v>
      </c>
      <c r="G32" s="11">
        <f t="shared" si="18"/>
        <v>2561.2459999999996</v>
      </c>
      <c r="H32" s="11">
        <f t="shared" si="18"/>
        <v>2778.801</v>
      </c>
      <c r="I32" s="11">
        <f t="shared" si="18"/>
        <v>2759.657</v>
      </c>
      <c r="J32" s="11">
        <f t="shared" si="18"/>
        <v>2876.822</v>
      </c>
      <c r="K32" s="11">
        <f t="shared" si="18"/>
        <v>3130.5860000000002</v>
      </c>
      <c r="L32" s="11">
        <f t="shared" si="18"/>
        <v>3199.1839999999997</v>
      </c>
      <c r="M32" s="11">
        <f t="shared" si="18"/>
        <v>3778.636</v>
      </c>
      <c r="N32" s="11">
        <f t="shared" si="18"/>
        <v>3844.876</v>
      </c>
      <c r="O32" s="11">
        <f t="shared" si="18"/>
        <v>4064.7700000000004</v>
      </c>
      <c r="P32" s="11">
        <f t="shared" si="18"/>
        <v>3942.744</v>
      </c>
      <c r="Q32" s="52">
        <f t="shared" si="18"/>
        <v>3862.096</v>
      </c>
      <c r="R32" s="22">
        <f t="shared" si="18"/>
        <v>3812.524</v>
      </c>
      <c r="S32" s="4"/>
      <c r="T32" s="25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1"/>
    </row>
    <row r="33" spans="1:37" ht="16.5" customHeight="1">
      <c r="A33" s="21" t="s">
        <v>62</v>
      </c>
      <c r="B33" s="14"/>
      <c r="C33" s="14">
        <v>357.8386505946284</v>
      </c>
      <c r="D33" s="14">
        <v>390.679</v>
      </c>
      <c r="E33" s="14">
        <v>312.15999999999997</v>
      </c>
      <c r="F33" s="14">
        <v>341.20700000000005</v>
      </c>
      <c r="G33" s="14">
        <v>332.58199999999994</v>
      </c>
      <c r="H33" s="14">
        <v>403.756</v>
      </c>
      <c r="I33" s="14">
        <v>373.536</v>
      </c>
      <c r="J33" s="14">
        <v>353.1329999999999</v>
      </c>
      <c r="K33" s="14">
        <v>394.675</v>
      </c>
      <c r="L33" s="14">
        <v>415.622</v>
      </c>
      <c r="M33" s="14">
        <v>651.157</v>
      </c>
      <c r="N33" s="14">
        <v>493.338</v>
      </c>
      <c r="O33" s="14">
        <v>474.22</v>
      </c>
      <c r="P33" s="14">
        <v>452.666</v>
      </c>
      <c r="Q33" s="54">
        <v>460.495</v>
      </c>
      <c r="R33" s="26">
        <v>479.33</v>
      </c>
      <c r="T33" s="30" t="s">
        <v>92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41"/>
    </row>
    <row r="34" spans="1:37" ht="16.5" customHeight="1">
      <c r="A34" s="21" t="s">
        <v>67</v>
      </c>
      <c r="B34" s="11">
        <v>2143.9121857198356</v>
      </c>
      <c r="C34" s="11">
        <v>2069.2602926806294</v>
      </c>
      <c r="D34" s="11">
        <v>2083.5119999999997</v>
      </c>
      <c r="E34" s="11">
        <v>2362.364</v>
      </c>
      <c r="F34" s="11">
        <v>2196.1629999999996</v>
      </c>
      <c r="G34" s="11">
        <v>2228.6639999999998</v>
      </c>
      <c r="H34" s="11">
        <v>2375.045</v>
      </c>
      <c r="I34" s="11">
        <v>2386.121</v>
      </c>
      <c r="J34" s="11">
        <v>2523.6890000000003</v>
      </c>
      <c r="K34" s="11">
        <v>2735.911</v>
      </c>
      <c r="L34" s="11">
        <v>2783.562</v>
      </c>
      <c r="M34" s="11">
        <v>3127.479</v>
      </c>
      <c r="N34" s="11">
        <v>3351.538</v>
      </c>
      <c r="O34" s="11">
        <v>3590.55</v>
      </c>
      <c r="P34" s="11">
        <v>3490.078</v>
      </c>
      <c r="Q34" s="52">
        <v>3401.601</v>
      </c>
      <c r="R34" s="22">
        <v>3333.194</v>
      </c>
      <c r="S34" s="4"/>
      <c r="T34" s="25" t="s">
        <v>95</v>
      </c>
      <c r="U34" s="38"/>
      <c r="V34" s="38"/>
      <c r="W34" s="38"/>
      <c r="X34" s="38"/>
      <c r="Y34" s="38"/>
      <c r="Z34" s="38"/>
      <c r="AA34" s="38"/>
      <c r="AB34" s="38"/>
      <c r="AC34" s="38"/>
      <c r="AD34" s="14">
        <v>6812</v>
      </c>
      <c r="AE34" s="14">
        <v>1560.417</v>
      </c>
      <c r="AF34" s="14">
        <v>1761.41</v>
      </c>
      <c r="AG34" s="14">
        <v>1628.623</v>
      </c>
      <c r="AH34" s="14">
        <v>1448.974</v>
      </c>
      <c r="AI34" s="14">
        <v>1455.047</v>
      </c>
      <c r="AJ34" s="14">
        <v>1605.074</v>
      </c>
      <c r="AK34" s="26">
        <v>1608.816</v>
      </c>
    </row>
    <row r="35" spans="1:37" ht="16.5" customHeight="1">
      <c r="A35" s="21" t="s">
        <v>100</v>
      </c>
      <c r="B35" s="14">
        <v>1821.8960497701712</v>
      </c>
      <c r="C35" s="14">
        <v>2209.1566552803442</v>
      </c>
      <c r="D35" s="14">
        <v>2211.694</v>
      </c>
      <c r="E35" s="14">
        <v>2048.2349999999997</v>
      </c>
      <c r="F35" s="14">
        <v>2252.761</v>
      </c>
      <c r="G35" s="14">
        <v>2214.691</v>
      </c>
      <c r="H35" s="14">
        <v>2208.565</v>
      </c>
      <c r="I35" s="14">
        <v>2995.1769999999997</v>
      </c>
      <c r="J35" s="14">
        <v>2949.83</v>
      </c>
      <c r="K35" s="14">
        <v>2530.756</v>
      </c>
      <c r="L35" s="14">
        <v>2498.905</v>
      </c>
      <c r="M35" s="14">
        <v>2506.327</v>
      </c>
      <c r="N35" s="14">
        <v>2476.449</v>
      </c>
      <c r="O35" s="14">
        <v>2167.682</v>
      </c>
      <c r="P35" s="14">
        <v>2167.739</v>
      </c>
      <c r="Q35" s="54">
        <v>2542.971</v>
      </c>
      <c r="R35" s="26">
        <v>2298.598</v>
      </c>
      <c r="T35" s="25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41"/>
    </row>
    <row r="36" spans="1:37" ht="16.5" customHeight="1">
      <c r="A36" s="21" t="s">
        <v>43</v>
      </c>
      <c r="B36" s="11">
        <v>1542.3897486095063</v>
      </c>
      <c r="C36" s="11">
        <v>1549.9265859700995</v>
      </c>
      <c r="D36" s="14">
        <v>1471.21</v>
      </c>
      <c r="E36" s="14">
        <v>1892.163</v>
      </c>
      <c r="F36" s="14">
        <v>1737.12</v>
      </c>
      <c r="G36" s="14">
        <v>1761.387</v>
      </c>
      <c r="H36" s="14">
        <v>1785.656</v>
      </c>
      <c r="I36" s="14">
        <v>1971.547</v>
      </c>
      <c r="J36" s="14">
        <v>2214.647</v>
      </c>
      <c r="K36" s="14">
        <v>2374.172</v>
      </c>
      <c r="L36" s="14">
        <v>2599.138</v>
      </c>
      <c r="M36" s="14">
        <v>3230.696</v>
      </c>
      <c r="N36" s="14">
        <v>3018.458</v>
      </c>
      <c r="O36" s="14">
        <v>3004.825</v>
      </c>
      <c r="P36" s="14">
        <v>3961.397</v>
      </c>
      <c r="Q36" s="54">
        <v>3920.998</v>
      </c>
      <c r="R36" s="26">
        <v>4330.975</v>
      </c>
      <c r="T36" s="19" t="s">
        <v>41</v>
      </c>
      <c r="U36" s="40">
        <f aca="true" t="shared" si="19" ref="U36:AK36">100*(U7+U16+U17)/U31</f>
        <v>55.14606434776772</v>
      </c>
      <c r="V36" s="40">
        <f t="shared" si="19"/>
        <v>54.40514883029047</v>
      </c>
      <c r="W36" s="40">
        <f t="shared" si="19"/>
        <v>53.99133004628905</v>
      </c>
      <c r="X36" s="40">
        <f t="shared" si="19"/>
        <v>54.019873385887486</v>
      </c>
      <c r="Y36" s="40">
        <f t="shared" si="19"/>
        <v>53.02288277286939</v>
      </c>
      <c r="Z36" s="40">
        <f t="shared" si="19"/>
        <v>51.7329210900049</v>
      </c>
      <c r="AA36" s="40">
        <f t="shared" si="19"/>
        <v>50.34050275362188</v>
      </c>
      <c r="AB36" s="40">
        <f t="shared" si="19"/>
        <v>50.26504152039709</v>
      </c>
      <c r="AC36" s="40">
        <f t="shared" si="19"/>
        <v>49.93892048548637</v>
      </c>
      <c r="AD36" s="40">
        <f t="shared" si="19"/>
        <v>49.337746297635356</v>
      </c>
      <c r="AE36" s="40">
        <f t="shared" si="19"/>
        <v>48.096402338515055</v>
      </c>
      <c r="AF36" s="40">
        <f t="shared" si="19"/>
        <v>47.53028448633606</v>
      </c>
      <c r="AG36" s="40">
        <f t="shared" si="19"/>
        <v>47.081681325304594</v>
      </c>
      <c r="AH36" s="40">
        <f t="shared" si="19"/>
        <v>45.24090429194309</v>
      </c>
      <c r="AI36" s="40">
        <f t="shared" si="19"/>
        <v>43.54619930209467</v>
      </c>
      <c r="AJ36" s="40">
        <f t="shared" si="19"/>
        <v>43.05728252562785</v>
      </c>
      <c r="AK36" s="98">
        <f t="shared" si="19"/>
        <v>42.314864513898236</v>
      </c>
    </row>
    <row r="37" spans="1:37" ht="16.5" customHeight="1">
      <c r="A37" s="32" t="s">
        <v>45</v>
      </c>
      <c r="B37" s="33">
        <f>B7+B28+B29+B30</f>
        <v>44181.80610286711</v>
      </c>
      <c r="C37" s="33">
        <f aca="true" t="shared" si="20" ref="C37:R37">C7+C29+C30</f>
        <v>45766.561717400546</v>
      </c>
      <c r="D37" s="33">
        <f t="shared" si="20"/>
        <v>46959.037</v>
      </c>
      <c r="E37" s="33">
        <f t="shared" si="20"/>
        <v>48636.931</v>
      </c>
      <c r="F37" s="33">
        <f t="shared" si="20"/>
        <v>49794.948</v>
      </c>
      <c r="G37" s="33">
        <f t="shared" si="20"/>
        <v>51142.535</v>
      </c>
      <c r="H37" s="33">
        <f t="shared" si="20"/>
        <v>52635.422</v>
      </c>
      <c r="I37" s="33">
        <f t="shared" si="20"/>
        <v>54845.91700000001</v>
      </c>
      <c r="J37" s="33">
        <f t="shared" si="20"/>
        <v>56880.77199999999</v>
      </c>
      <c r="K37" s="33">
        <f t="shared" si="20"/>
        <v>59374.138</v>
      </c>
      <c r="L37" s="33">
        <f t="shared" si="20"/>
        <v>62004.29600000001</v>
      </c>
      <c r="M37" s="33">
        <f t="shared" si="20"/>
        <v>66137.642</v>
      </c>
      <c r="N37" s="33">
        <f t="shared" si="20"/>
        <v>68448.26000000001</v>
      </c>
      <c r="O37" s="33">
        <f t="shared" si="20"/>
        <v>70547.394</v>
      </c>
      <c r="P37" s="33">
        <f t="shared" si="20"/>
        <v>73594.511</v>
      </c>
      <c r="Q37" s="56">
        <f t="shared" si="20"/>
        <v>75894.00099999999</v>
      </c>
      <c r="R37" s="34">
        <f t="shared" si="20"/>
        <v>78004.663</v>
      </c>
      <c r="T37" s="42" t="s">
        <v>104</v>
      </c>
      <c r="U37" s="14">
        <f aca="true" t="shared" si="21" ref="U37:AK37">B35+B36</f>
        <v>3364.2857983796775</v>
      </c>
      <c r="V37" s="14">
        <f t="shared" si="21"/>
        <v>3759.0832412504437</v>
      </c>
      <c r="W37" s="14">
        <f t="shared" si="21"/>
        <v>3682.904</v>
      </c>
      <c r="X37" s="14">
        <f t="shared" si="21"/>
        <v>3940.3979999999997</v>
      </c>
      <c r="Y37" s="14">
        <f t="shared" si="21"/>
        <v>3989.881</v>
      </c>
      <c r="Z37" s="14">
        <f t="shared" si="21"/>
        <v>3976.0779999999995</v>
      </c>
      <c r="AA37" s="14">
        <f t="shared" si="21"/>
        <v>3994.221</v>
      </c>
      <c r="AB37" s="14">
        <f t="shared" si="21"/>
        <v>4966.724</v>
      </c>
      <c r="AC37" s="14">
        <f t="shared" si="21"/>
        <v>5164.477</v>
      </c>
      <c r="AD37" s="14">
        <f t="shared" si="21"/>
        <v>4904.928</v>
      </c>
      <c r="AE37" s="14">
        <f t="shared" si="21"/>
        <v>5098.043</v>
      </c>
      <c r="AF37" s="14">
        <f t="shared" si="21"/>
        <v>5737.023</v>
      </c>
      <c r="AG37" s="14">
        <f t="shared" si="21"/>
        <v>5494.907</v>
      </c>
      <c r="AH37" s="14">
        <f t="shared" si="21"/>
        <v>5172.507</v>
      </c>
      <c r="AI37" s="14">
        <f t="shared" si="21"/>
        <v>6129.136</v>
      </c>
      <c r="AJ37" s="14">
        <f t="shared" si="21"/>
        <v>6463.969</v>
      </c>
      <c r="AK37" s="26">
        <f t="shared" si="21"/>
        <v>6629.573</v>
      </c>
    </row>
    <row r="38" spans="18:37" ht="16.5" customHeight="1">
      <c r="R38" s="79"/>
      <c r="S38" s="4"/>
      <c r="T38" s="25" t="s">
        <v>103</v>
      </c>
      <c r="U38" s="14">
        <f>1000000*U37/5171302</f>
        <v>650.5684252011732</v>
      </c>
      <c r="V38" s="14">
        <f>1000000*V37/5181115</f>
        <v>725.5355731826921</v>
      </c>
      <c r="W38" s="14">
        <f>1000000*W37/5194901</f>
        <v>708.9459452644045</v>
      </c>
      <c r="X38" s="14">
        <f>1000000*X37/5206295</f>
        <v>756.852617840518</v>
      </c>
      <c r="Y38" s="14">
        <f>1000000*Y37/5219732</f>
        <v>764.384263406627</v>
      </c>
      <c r="Z38" s="14">
        <f>1000000*Z37/5236611</f>
        <v>759.2845831015517</v>
      </c>
      <c r="AA38" s="14">
        <f>1000000*AA37/5255580</f>
        <v>759.9962325756625</v>
      </c>
      <c r="AB38" s="14">
        <f>1000000*AB37/5276955</f>
        <v>941.210224457097</v>
      </c>
      <c r="AC38" s="14">
        <f>1000000*AC37/5300484</f>
        <v>974.3406451184458</v>
      </c>
      <c r="AD38" s="14">
        <f>1000000*AD37/5326314</f>
        <v>920.8860010881822</v>
      </c>
      <c r="AE38" s="14">
        <f>1000000*AE37/5326314</f>
        <v>957.1427820440177</v>
      </c>
      <c r="AF38" s="14">
        <f>1000000*AF37/5375276</f>
        <v>1067.2983117518058</v>
      </c>
      <c r="AG38" s="14">
        <f>1000000*AG37/5401267</f>
        <v>1017.3366730435655</v>
      </c>
      <c r="AH38" s="14">
        <f>1000000*AH37/5426674</f>
        <v>953.1633925310421</v>
      </c>
      <c r="AI38" s="14">
        <f>1000000*AI37/5451270</f>
        <v>1124.350105571729</v>
      </c>
      <c r="AJ38" s="14">
        <f>1000000*AJ37/5471753</f>
        <v>1181.3342086165073</v>
      </c>
      <c r="AK38" s="26">
        <f>1000000*AK37/5487308</f>
        <v>1208.1649143806035</v>
      </c>
    </row>
    <row r="39" spans="1:37" ht="16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79"/>
      <c r="P39" s="79"/>
      <c r="Q39" s="79"/>
      <c r="R39" s="79"/>
      <c r="T39" s="42" t="s">
        <v>106</v>
      </c>
      <c r="U39" s="11">
        <f aca="true" t="shared" si="22" ref="U39:AK39">U26+U29</f>
        <v>12171.664034525616</v>
      </c>
      <c r="V39" s="11">
        <f t="shared" si="22"/>
        <v>12724.546691491207</v>
      </c>
      <c r="W39" s="11">
        <f t="shared" si="22"/>
        <v>13441.152000000002</v>
      </c>
      <c r="X39" s="11">
        <f t="shared" si="22"/>
        <v>14306.293000000001</v>
      </c>
      <c r="Y39" s="11">
        <f t="shared" si="22"/>
        <v>15483.586</v>
      </c>
      <c r="Z39" s="11">
        <f t="shared" si="22"/>
        <v>16702.738999999998</v>
      </c>
      <c r="AA39" s="11">
        <f t="shared" si="22"/>
        <v>17996.307</v>
      </c>
      <c r="AB39" s="11">
        <f t="shared" si="22"/>
        <v>18893.676</v>
      </c>
      <c r="AC39" s="11">
        <f t="shared" si="22"/>
        <v>19745.689999999995</v>
      </c>
      <c r="AD39" s="11">
        <f t="shared" si="22"/>
        <v>20796.342</v>
      </c>
      <c r="AE39" s="11">
        <f t="shared" si="22"/>
        <v>22753.376</v>
      </c>
      <c r="AF39" s="11">
        <f t="shared" si="22"/>
        <v>24579.617</v>
      </c>
      <c r="AG39" s="11">
        <f t="shared" si="22"/>
        <v>25517.903</v>
      </c>
      <c r="AH39" s="11">
        <f t="shared" si="22"/>
        <v>27278.227</v>
      </c>
      <c r="AI39" s="11">
        <f t="shared" si="22"/>
        <v>30188.06</v>
      </c>
      <c r="AJ39" s="11">
        <f t="shared" si="22"/>
        <v>31547.968</v>
      </c>
      <c r="AK39" s="22">
        <f t="shared" si="22"/>
        <v>32786.437</v>
      </c>
    </row>
    <row r="40" spans="1:37" ht="16.5" customHeight="1">
      <c r="A40" s="68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79"/>
      <c r="T40" s="43" t="s">
        <v>105</v>
      </c>
      <c r="U40" s="44">
        <f>1000000*U39/5171302</f>
        <v>2353.6942987521547</v>
      </c>
      <c r="V40" s="44">
        <f>1000000*V39/5181115</f>
        <v>2455.947550187789</v>
      </c>
      <c r="W40" s="44">
        <f>1000000*W39/5194901</f>
        <v>2587.3740423542245</v>
      </c>
      <c r="X40" s="44">
        <f>1000000*X39/5206295</f>
        <v>2747.8836677522117</v>
      </c>
      <c r="Y40" s="44">
        <f>1000000*Y39/5219732</f>
        <v>2966.356510257615</v>
      </c>
      <c r="Z40" s="44">
        <f>1000000*Z39/5236611</f>
        <v>3189.608508250851</v>
      </c>
      <c r="AA40" s="44">
        <f>1000000*AA39/5255580</f>
        <v>3424.228534243604</v>
      </c>
      <c r="AB40" s="44">
        <f>1000000*AB39/5276955</f>
        <v>3580.4125674749926</v>
      </c>
      <c r="AC40" s="44">
        <f>1000000*AC39/5300484</f>
        <v>3725.2616930831214</v>
      </c>
      <c r="AD40" s="44">
        <f>1000000*AD39/5326314</f>
        <v>3904.4528730375264</v>
      </c>
      <c r="AE40" s="44">
        <f>1000000*AE39/5326314</f>
        <v>4271.880328497344</v>
      </c>
      <c r="AF40" s="44">
        <f>1000000*AF39/5375276</f>
        <v>4572.717196289083</v>
      </c>
      <c r="AG40" s="44">
        <f>1000000*AG39/5401267</f>
        <v>4724.429101542286</v>
      </c>
      <c r="AH40" s="44">
        <f>1000000*AH39/5426674</f>
        <v>5026.693514296234</v>
      </c>
      <c r="AI40" s="44">
        <f>1000000*AI39/5451270</f>
        <v>5537.803117438689</v>
      </c>
      <c r="AJ40" s="44">
        <f>1000000*AJ39/5471753</f>
        <v>5765.605282255979</v>
      </c>
      <c r="AK40" s="45">
        <f>1000000*AK39/5487308</f>
        <v>5974.958394899648</v>
      </c>
    </row>
    <row r="41" spans="1:18" ht="14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79"/>
    </row>
    <row r="42" spans="1:18" ht="14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80"/>
    </row>
    <row r="43" ht="14.25" customHeight="1">
      <c r="R43" s="78"/>
    </row>
    <row r="44" ht="14.25" customHeight="1">
      <c r="R44" s="80"/>
    </row>
    <row r="45" ht="14.25" customHeight="1">
      <c r="R45" s="79"/>
    </row>
    <row r="46" ht="14.25" customHeight="1">
      <c r="R46" s="79"/>
    </row>
    <row r="47" ht="14.25" customHeight="1">
      <c r="R47" s="79"/>
    </row>
    <row r="48" ht="14.25" customHeight="1">
      <c r="R48" s="79"/>
    </row>
    <row r="49" spans="18:19" ht="14.25" customHeight="1">
      <c r="R49" s="80"/>
      <c r="S49" s="5"/>
    </row>
    <row r="50" ht="14.25" customHeight="1">
      <c r="R50" s="78"/>
    </row>
    <row r="51" ht="14.25" customHeight="1">
      <c r="R51" s="79"/>
    </row>
    <row r="52" ht="14.25" customHeight="1">
      <c r="R52" s="79"/>
    </row>
    <row r="53" ht="14.25" customHeight="1">
      <c r="R53" s="79"/>
    </row>
    <row r="54" ht="14.25" customHeight="1">
      <c r="R54" s="79"/>
    </row>
    <row r="55" ht="14.25" customHeight="1">
      <c r="R55" s="80"/>
    </row>
    <row r="56" ht="14.25" customHeight="1">
      <c r="R56" s="80"/>
    </row>
    <row r="57" ht="14.25" customHeight="1">
      <c r="R57" s="79"/>
    </row>
    <row r="58" ht="14.25" customHeight="1">
      <c r="R58" s="79"/>
    </row>
    <row r="59" ht="14.25" customHeight="1">
      <c r="R59" s="79"/>
    </row>
    <row r="60" ht="14.25" customHeight="1">
      <c r="R60" s="79"/>
    </row>
    <row r="61" spans="18:19" ht="14.25" customHeight="1">
      <c r="R61" s="80"/>
      <c r="S61" s="4"/>
    </row>
    <row r="62" ht="14.25" customHeight="1">
      <c r="R62" s="80"/>
    </row>
    <row r="63" ht="14.25" customHeight="1">
      <c r="R63" s="77"/>
    </row>
    <row r="64" ht="14.25" customHeight="1"/>
    <row r="66" spans="2:3" ht="13.5" customHeight="1">
      <c r="B66" s="6"/>
      <c r="C66" s="6"/>
    </row>
    <row r="67" spans="2:3" ht="12.75">
      <c r="B67" s="6"/>
      <c r="C67" s="6"/>
    </row>
  </sheetData>
  <sheetProtection/>
  <printOptions/>
  <pageMargins left="0.2362204724409449" right="0.1968503937007874" top="0.6299212598425197" bottom="0.3937007874015748" header="0.3937007874015748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Kuntien, kuntayhtymien sekä kuntakonsernien taseet 2008-2015</dc:title>
  <dc:subject/>
  <dc:creator>pukkihe</dc:creator>
  <cp:keywords/>
  <dc:description/>
  <cp:lastModifiedBy>Valkeinen Tuija</cp:lastModifiedBy>
  <cp:lastPrinted>2016-06-15T08:22:06Z</cp:lastPrinted>
  <dcterms:created xsi:type="dcterms:W3CDTF">1999-12-08T10:25:06Z</dcterms:created>
  <dcterms:modified xsi:type="dcterms:W3CDTF">2017-02-23T14:56:33Z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0x010100FB67A0028CB54352919050D117ADD9610055327241E7EE1B4C9E4056FB104430F6</vt:lpwstr>
  </property>
  <property fmtid="{D5CDD505-2E9C-101B-9397-08002B2CF9AE}" pid="3" name="_dlc_DocIdItemGuid">
    <vt:lpwstr>35a435fe-c686-424a-8e5b-c38c35ae645e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2016-08-12T12:39:00Z</vt:lpwstr>
  </property>
  <property fmtid="{D5CDD505-2E9C-101B-9397-08002B2CF9AE}" pid="14" name="KN2Description">
    <vt:lpwstr/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G94TWSLYV3F3-409-13</vt:lpwstr>
  </property>
  <property fmtid="{D5CDD505-2E9C-101B-9397-08002B2CF9AE}" pid="18" name="_dlc_DocIdUrl">
    <vt:lpwstr>http://www.kunnat.net/fi/tietopankit/tilastot/kuntatalous/kuntien-tilinpaatokset/taseet/_layouts/DocIdRedir.aspx?ID=G94TWSLYV3F3-409-13, G94TWSLYV3F3-409-13</vt:lpwstr>
  </property>
</Properties>
</file>