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Kuntatalous\TILINPÄÄTÖKSET\"/>
    </mc:Choice>
  </mc:AlternateContent>
  <bookViews>
    <workbookView xWindow="-12" yWindow="48" windowWidth="11940" windowHeight="6540"/>
  </bookViews>
  <sheets>
    <sheet name="kunnat" sheetId="1" r:id="rId1"/>
    <sheet name="kuntayhtymät" sheetId="2" r:id="rId2"/>
    <sheet name="kuntakonsernit" sheetId="3" r:id="rId3"/>
  </sheets>
  <definedNames>
    <definedName name="_xlnm.Print_Area" localSheetId="0">kunnat!$A$1:$AN$64</definedName>
    <definedName name="_xlnm.Print_Area" localSheetId="1">kuntayhtymät!$A$1:$AN$64</definedName>
    <definedName name="Tulostusalue_MI">kunnat!$A$1:$Y$61</definedName>
  </definedNames>
  <calcPr calcId="162913"/>
</workbook>
</file>

<file path=xl/calcChain.xml><?xml version="1.0" encoding="utf-8"?>
<calcChain xmlns="http://schemas.openxmlformats.org/spreadsheetml/2006/main">
  <c r="AN60" i="1" l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AM39" i="3" l="1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AM43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AM40" i="3"/>
  <c r="AM42" i="3"/>
  <c r="AM29" i="3"/>
  <c r="AM25" i="3"/>
  <c r="AM20" i="3"/>
  <c r="AM7" i="3"/>
  <c r="S32" i="3"/>
  <c r="S30" i="3" s="1"/>
  <c r="S22" i="3"/>
  <c r="S14" i="3"/>
  <c r="S8" i="3"/>
  <c r="AM24" i="3" l="1"/>
  <c r="AM33" i="3" s="1"/>
  <c r="S7" i="3"/>
  <c r="S38" i="3" s="1"/>
  <c r="AN60" i="2"/>
  <c r="AN63" i="2"/>
  <c r="AN64" i="2" l="1"/>
  <c r="AN59" i="2"/>
  <c r="AN53" i="2"/>
  <c r="AN39" i="2"/>
  <c r="AN29" i="2"/>
  <c r="AN23" i="2"/>
  <c r="AN19" i="2"/>
  <c r="AN15" i="2"/>
  <c r="AN7" i="2"/>
  <c r="S55" i="2"/>
  <c r="AN57" i="2" s="1"/>
  <c r="S49" i="2"/>
  <c r="S43" i="2"/>
  <c r="S42" i="2" s="1"/>
  <c r="S35" i="2"/>
  <c r="S29" i="2"/>
  <c r="S22" i="2"/>
  <c r="S14" i="2"/>
  <c r="S8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AN28" i="2" l="1"/>
  <c r="AN62" i="2" s="1"/>
  <c r="S34" i="2"/>
  <c r="S7" i="2"/>
  <c r="AN64" i="1"/>
  <c r="AN59" i="1"/>
  <c r="AN53" i="1"/>
  <c r="AN39" i="1"/>
  <c r="AN29" i="1"/>
  <c r="AN23" i="1"/>
  <c r="AN19" i="1"/>
  <c r="AN15" i="1"/>
  <c r="AN7" i="1"/>
  <c r="S55" i="1"/>
  <c r="AN57" i="1" s="1"/>
  <c r="S49" i="1"/>
  <c r="S43" i="1"/>
  <c r="S35" i="1"/>
  <c r="S29" i="1"/>
  <c r="S22" i="1"/>
  <c r="S1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AN49" i="2" l="1"/>
  <c r="AN56" i="2" s="1"/>
  <c r="S63" i="2"/>
  <c r="AN28" i="1"/>
  <c r="AN49" i="1" s="1"/>
  <c r="AN56" i="1" s="1"/>
  <c r="S7" i="1"/>
  <c r="S42" i="1"/>
  <c r="S34" i="1" s="1"/>
  <c r="AN62" i="1" l="1"/>
  <c r="AN63" i="1" s="1"/>
  <c r="S63" i="1"/>
  <c r="AL42" i="3"/>
  <c r="AL43" i="3" s="1"/>
  <c r="AL40" i="3"/>
  <c r="AL29" i="3"/>
  <c r="AL25" i="3"/>
  <c r="AL20" i="3"/>
  <c r="AL17" i="3"/>
  <c r="AL7" i="3"/>
  <c r="R32" i="3"/>
  <c r="R30" i="3" s="1"/>
  <c r="R22" i="3"/>
  <c r="R14" i="3"/>
  <c r="R8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X29" i="3"/>
  <c r="V29" i="3"/>
  <c r="Y29" i="3"/>
  <c r="AD25" i="3"/>
  <c r="AC25" i="3"/>
  <c r="AB25" i="3"/>
  <c r="AA25" i="3"/>
  <c r="Z25" i="3"/>
  <c r="Y25" i="3"/>
  <c r="X25" i="3"/>
  <c r="W25" i="3"/>
  <c r="V25" i="3"/>
  <c r="W23" i="3"/>
  <c r="V23" i="3"/>
  <c r="AL24" i="3" l="1"/>
  <c r="AL33" i="3" s="1"/>
  <c r="R7" i="3"/>
  <c r="R38" i="3" s="1"/>
  <c r="W29" i="3"/>
  <c r="AM53" i="2"/>
  <c r="AM39" i="2"/>
  <c r="AM29" i="2"/>
  <c r="AM23" i="2"/>
  <c r="AM19" i="2"/>
  <c r="AM15" i="2"/>
  <c r="AM7" i="2"/>
  <c r="R55" i="2"/>
  <c r="AM57" i="2" s="1"/>
  <c r="R49" i="2"/>
  <c r="R43" i="2"/>
  <c r="R35" i="2"/>
  <c r="R29" i="2"/>
  <c r="R22" i="2"/>
  <c r="R14" i="2"/>
  <c r="R8" i="2"/>
  <c r="AM53" i="1"/>
  <c r="AM39" i="1"/>
  <c r="AM29" i="1"/>
  <c r="AM23" i="1"/>
  <c r="AM19" i="1"/>
  <c r="AM15" i="1"/>
  <c r="AM7" i="1"/>
  <c r="R55" i="1"/>
  <c r="AM57" i="1" s="1"/>
  <c r="R49" i="1"/>
  <c r="R43" i="1"/>
  <c r="R35" i="1"/>
  <c r="R29" i="1"/>
  <c r="R22" i="1"/>
  <c r="R14" i="1"/>
  <c r="R8" i="1"/>
  <c r="AM28" i="2" l="1"/>
  <c r="AM62" i="2" s="1"/>
  <c r="AM63" i="2" s="1"/>
  <c r="R42" i="2"/>
  <c r="R34" i="2" s="1"/>
  <c r="R7" i="2"/>
  <c r="AM28" i="1"/>
  <c r="AM62" i="1" s="1"/>
  <c r="AM63" i="1" s="1"/>
  <c r="R42" i="1"/>
  <c r="R34" i="1" s="1"/>
  <c r="R7" i="1"/>
  <c r="AK43" i="3"/>
  <c r="AK40" i="3"/>
  <c r="AK29" i="3"/>
  <c r="AK25" i="3"/>
  <c r="AK20" i="3"/>
  <c r="AK17" i="3"/>
  <c r="AK7" i="3"/>
  <c r="Q32" i="3"/>
  <c r="Q30" i="3" s="1"/>
  <c r="Q22" i="3"/>
  <c r="Q14" i="3"/>
  <c r="Q8" i="3"/>
  <c r="AK24" i="3" l="1"/>
  <c r="AM49" i="2"/>
  <c r="AM56" i="2" s="1"/>
  <c r="R63" i="2"/>
  <c r="AM49" i="1"/>
  <c r="AM56" i="1" s="1"/>
  <c r="R63" i="1"/>
  <c r="AK33" i="3"/>
  <c r="Q7" i="3"/>
  <c r="Q38" i="3" s="1"/>
  <c r="AL53" i="2" l="1"/>
  <c r="AL39" i="2"/>
  <c r="AL29" i="2"/>
  <c r="AL23" i="2"/>
  <c r="AL19" i="2"/>
  <c r="AL15" i="2"/>
  <c r="AL7" i="2"/>
  <c r="AL28" i="2" l="1"/>
  <c r="AL62" i="2" s="1"/>
  <c r="AL63" i="2" s="1"/>
  <c r="Q55" i="2"/>
  <c r="AL57" i="2" s="1"/>
  <c r="Q49" i="2"/>
  <c r="Q43" i="2"/>
  <c r="Q35" i="2"/>
  <c r="Q29" i="2"/>
  <c r="Q22" i="2"/>
  <c r="Q14" i="2"/>
  <c r="Q8" i="2"/>
  <c r="Q8" i="1"/>
  <c r="AL53" i="1"/>
  <c r="AL39" i="1"/>
  <c r="AL29" i="1"/>
  <c r="AL23" i="1"/>
  <c r="AL19" i="1"/>
  <c r="AL15" i="1"/>
  <c r="AL7" i="1"/>
  <c r="Q55" i="1"/>
  <c r="AL57" i="1" s="1"/>
  <c r="Q49" i="1"/>
  <c r="Q43" i="1"/>
  <c r="Q35" i="1"/>
  <c r="Q29" i="1"/>
  <c r="Q22" i="1"/>
  <c r="Q14" i="1"/>
  <c r="Q42" i="1" l="1"/>
  <c r="Q34" i="1" s="1"/>
  <c r="AL49" i="2"/>
  <c r="AL56" i="2" s="1"/>
  <c r="Q42" i="2"/>
  <c r="Q34" i="2" s="1"/>
  <c r="Q7" i="2"/>
  <c r="AL28" i="1"/>
  <c r="AL62" i="1" s="1"/>
  <c r="AL63" i="1" s="1"/>
  <c r="Q7" i="1"/>
  <c r="AK53" i="2"/>
  <c r="AK39" i="2"/>
  <c r="AK29" i="2"/>
  <c r="AK23" i="2"/>
  <c r="AK19" i="2"/>
  <c r="AK15" i="2"/>
  <c r="AK7" i="2"/>
  <c r="P55" i="2"/>
  <c r="AK57" i="2" s="1"/>
  <c r="P49" i="2"/>
  <c r="P43" i="2"/>
  <c r="P35" i="2"/>
  <c r="P29" i="2"/>
  <c r="P22" i="2"/>
  <c r="P14" i="2"/>
  <c r="P8" i="2"/>
  <c r="AJ25" i="3"/>
  <c r="AJ43" i="3"/>
  <c r="AJ40" i="3"/>
  <c r="AJ29" i="3"/>
  <c r="AJ20" i="3"/>
  <c r="AJ17" i="3"/>
  <c r="AJ7" i="3"/>
  <c r="P32" i="3"/>
  <c r="P30" i="3" s="1"/>
  <c r="P22" i="3"/>
  <c r="P14" i="3"/>
  <c r="P8" i="3"/>
  <c r="Q63" i="2" l="1"/>
  <c r="AL49" i="1"/>
  <c r="AL56" i="1" s="1"/>
  <c r="Q63" i="1"/>
  <c r="P42" i="2"/>
  <c r="P34" i="2" s="1"/>
  <c r="AK28" i="2"/>
  <c r="AK62" i="2" s="1"/>
  <c r="AK63" i="2" s="1"/>
  <c r="P7" i="2"/>
  <c r="AJ24" i="3"/>
  <c r="AJ33" i="3" s="1"/>
  <c r="P7" i="3"/>
  <c r="P38" i="3" s="1"/>
  <c r="AK49" i="2" l="1"/>
  <c r="AK56" i="2" s="1"/>
  <c r="P63" i="2"/>
  <c r="AK53" i="1" l="1"/>
  <c r="AK39" i="1"/>
  <c r="AK29" i="1"/>
  <c r="AK23" i="1"/>
  <c r="AK19" i="1"/>
  <c r="AK15" i="1"/>
  <c r="AK7" i="1"/>
  <c r="P55" i="1"/>
  <c r="AK57" i="1" s="1"/>
  <c r="P49" i="1"/>
  <c r="P43" i="1"/>
  <c r="P35" i="1"/>
  <c r="P29" i="1"/>
  <c r="P22" i="1"/>
  <c r="P14" i="1"/>
  <c r="P8" i="1"/>
  <c r="AK28" i="1" l="1"/>
  <c r="AK62" i="1" s="1"/>
  <c r="AK63" i="1" s="1"/>
  <c r="P42" i="1"/>
  <c r="P34" i="1" s="1"/>
  <c r="P7" i="1"/>
  <c r="AK49" i="1" l="1"/>
  <c r="AK56" i="1" s="1"/>
  <c r="P63" i="1"/>
  <c r="AI43" i="3"/>
  <c r="AI40" i="3"/>
  <c r="AI29" i="3"/>
  <c r="AI25" i="3"/>
  <c r="AI20" i="3"/>
  <c r="AI17" i="3"/>
  <c r="AI7" i="3"/>
  <c r="O32" i="3"/>
  <c r="O30" i="3" s="1"/>
  <c r="O22" i="3"/>
  <c r="O14" i="3"/>
  <c r="O8" i="3"/>
  <c r="AI24" i="3" l="1"/>
  <c r="AI33" i="3" s="1"/>
  <c r="O7" i="3"/>
  <c r="O38" i="3" s="1"/>
  <c r="AJ53" i="2" l="1"/>
  <c r="AJ39" i="2"/>
  <c r="AJ29" i="2"/>
  <c r="AJ23" i="2"/>
  <c r="AJ19" i="2"/>
  <c r="AJ15" i="2"/>
  <c r="AJ7" i="2"/>
  <c r="O55" i="2"/>
  <c r="AJ57" i="2" s="1"/>
  <c r="O49" i="2"/>
  <c r="O43" i="2"/>
  <c r="O35" i="2"/>
  <c r="O29" i="2"/>
  <c r="O22" i="2"/>
  <c r="O14" i="2"/>
  <c r="O8" i="2"/>
  <c r="AJ53" i="1"/>
  <c r="AJ39" i="1"/>
  <c r="AJ29" i="1"/>
  <c r="AJ23" i="1"/>
  <c r="AJ19" i="1"/>
  <c r="AJ15" i="1"/>
  <c r="AJ7" i="1"/>
  <c r="O55" i="1"/>
  <c r="AJ57" i="1" s="1"/>
  <c r="O49" i="1"/>
  <c r="O43" i="1"/>
  <c r="O35" i="1"/>
  <c r="O29" i="1"/>
  <c r="O22" i="1"/>
  <c r="O14" i="1"/>
  <c r="O8" i="1"/>
  <c r="O42" i="2" l="1"/>
  <c r="O34" i="2" s="1"/>
  <c r="AJ28" i="2"/>
  <c r="AJ62" i="2" s="1"/>
  <c r="AJ63" i="2" s="1"/>
  <c r="O7" i="2"/>
  <c r="AJ28" i="1"/>
  <c r="AJ62" i="1" s="1"/>
  <c r="AJ63" i="1" s="1"/>
  <c r="O42" i="1"/>
  <c r="O34" i="1" s="1"/>
  <c r="O7" i="1"/>
  <c r="AH43" i="3"/>
  <c r="AH40" i="3"/>
  <c r="AH29" i="3"/>
  <c r="AH25" i="3"/>
  <c r="AH20" i="3"/>
  <c r="AH17" i="3"/>
  <c r="AH7" i="3"/>
  <c r="N32" i="3"/>
  <c r="N30" i="3" s="1"/>
  <c r="N22" i="3"/>
  <c r="N14" i="3"/>
  <c r="N8" i="3"/>
  <c r="AH24" i="3" l="1"/>
  <c r="AH33" i="3" s="1"/>
  <c r="AJ49" i="2"/>
  <c r="AJ56" i="2" s="1"/>
  <c r="O63" i="2"/>
  <c r="AJ49" i="1"/>
  <c r="AJ56" i="1" s="1"/>
  <c r="O63" i="1"/>
  <c r="N7" i="3"/>
  <c r="N38" i="3" s="1"/>
  <c r="AI53" i="2"/>
  <c r="AI39" i="2"/>
  <c r="AI29" i="2"/>
  <c r="AI23" i="2"/>
  <c r="AI19" i="2"/>
  <c r="AI15" i="2"/>
  <c r="AI7" i="2"/>
  <c r="N55" i="2"/>
  <c r="AI57" i="2" s="1"/>
  <c r="N49" i="2"/>
  <c r="N43" i="2"/>
  <c r="N35" i="2"/>
  <c r="N29" i="2"/>
  <c r="N22" i="2"/>
  <c r="N14" i="2"/>
  <c r="N8" i="2"/>
  <c r="AI53" i="1"/>
  <c r="AI39" i="1"/>
  <c r="AI29" i="1"/>
  <c r="AI23" i="1"/>
  <c r="AI19" i="1"/>
  <c r="AI15" i="1"/>
  <c r="AI7" i="1"/>
  <c r="N55" i="1"/>
  <c r="AI57" i="1" s="1"/>
  <c r="N49" i="1"/>
  <c r="N43" i="1"/>
  <c r="N35" i="1"/>
  <c r="N29" i="1"/>
  <c r="N22" i="1"/>
  <c r="N14" i="1"/>
  <c r="N8" i="1"/>
  <c r="AG43" i="3"/>
  <c r="AG40" i="3"/>
  <c r="AG29" i="3"/>
  <c r="AG25" i="3"/>
  <c r="AG20" i="3"/>
  <c r="AG17" i="3"/>
  <c r="AG7" i="3"/>
  <c r="M32" i="3"/>
  <c r="M30" i="3" s="1"/>
  <c r="M22" i="3"/>
  <c r="M14" i="3"/>
  <c r="M8" i="3"/>
  <c r="AH53" i="2"/>
  <c r="AH39" i="2"/>
  <c r="AH29" i="2"/>
  <c r="AH23" i="2"/>
  <c r="AH19" i="2"/>
  <c r="AH15" i="2"/>
  <c r="AH7" i="2"/>
  <c r="M55" i="2"/>
  <c r="AH57" i="2" s="1"/>
  <c r="M49" i="2"/>
  <c r="M43" i="2"/>
  <c r="M35" i="2"/>
  <c r="M29" i="2"/>
  <c r="M22" i="2"/>
  <c r="M14" i="2"/>
  <c r="M8" i="2"/>
  <c r="M8" i="1"/>
  <c r="AH53" i="1"/>
  <c r="AH39" i="1"/>
  <c r="AH29" i="1"/>
  <c r="AH23" i="1"/>
  <c r="AH19" i="1"/>
  <c r="AH15" i="1"/>
  <c r="AH7" i="1"/>
  <c r="M55" i="1"/>
  <c r="AH57" i="1" s="1"/>
  <c r="M49" i="1"/>
  <c r="M43" i="1"/>
  <c r="M35" i="1"/>
  <c r="M29" i="1"/>
  <c r="M22" i="1"/>
  <c r="M14" i="1"/>
  <c r="AF43" i="3"/>
  <c r="AF40" i="3"/>
  <c r="AF7" i="3"/>
  <c r="AF17" i="3"/>
  <c r="AF20" i="3"/>
  <c r="AF25" i="3"/>
  <c r="AF29" i="3"/>
  <c r="L8" i="3"/>
  <c r="L14" i="3"/>
  <c r="L22" i="3"/>
  <c r="L32" i="3"/>
  <c r="L30" i="3" s="1"/>
  <c r="AG29" i="2"/>
  <c r="AG39" i="2"/>
  <c r="L35" i="2"/>
  <c r="K35" i="2"/>
  <c r="L8" i="2"/>
  <c r="L55" i="2"/>
  <c r="AG57" i="2" s="1"/>
  <c r="AG7" i="2"/>
  <c r="AG15" i="2"/>
  <c r="AG19" i="2"/>
  <c r="AG23" i="2"/>
  <c r="AG53" i="2"/>
  <c r="L14" i="2"/>
  <c r="L22" i="2"/>
  <c r="L29" i="2"/>
  <c r="L43" i="2"/>
  <c r="L49" i="2"/>
  <c r="AG29" i="1"/>
  <c r="AG39" i="1"/>
  <c r="L55" i="1"/>
  <c r="AG57" i="1" s="1"/>
  <c r="AG7" i="1"/>
  <c r="AG15" i="1"/>
  <c r="AG19" i="1"/>
  <c r="AG23" i="1"/>
  <c r="AG53" i="1"/>
  <c r="L8" i="1"/>
  <c r="L14" i="1"/>
  <c r="L22" i="1"/>
  <c r="L29" i="1"/>
  <c r="L35" i="1"/>
  <c r="L43" i="1"/>
  <c r="L49" i="1"/>
  <c r="AE43" i="3"/>
  <c r="AE29" i="3"/>
  <c r="AD29" i="3"/>
  <c r="AE25" i="3"/>
  <c r="K8" i="3"/>
  <c r="AE40" i="3"/>
  <c r="AE7" i="3"/>
  <c r="AE17" i="3"/>
  <c r="AE20" i="3"/>
  <c r="K14" i="3"/>
  <c r="K22" i="3"/>
  <c r="K32" i="3"/>
  <c r="K30" i="3" s="1"/>
  <c r="AF53" i="2"/>
  <c r="AF53" i="1"/>
  <c r="AF29" i="2"/>
  <c r="AF39" i="2"/>
  <c r="K55" i="2"/>
  <c r="AF57" i="2" s="1"/>
  <c r="AF7" i="2"/>
  <c r="AF15" i="2"/>
  <c r="AF19" i="2"/>
  <c r="AF23" i="2"/>
  <c r="K8" i="2"/>
  <c r="K14" i="2"/>
  <c r="K22" i="2"/>
  <c r="K29" i="2"/>
  <c r="K43" i="2"/>
  <c r="K49" i="2"/>
  <c r="AF29" i="1"/>
  <c r="AF39" i="1"/>
  <c r="K55" i="1"/>
  <c r="AF57" i="1" s="1"/>
  <c r="AF7" i="1"/>
  <c r="AF15" i="1"/>
  <c r="AF19" i="1"/>
  <c r="AF23" i="1"/>
  <c r="K8" i="1"/>
  <c r="K14" i="1"/>
  <c r="K22" i="1"/>
  <c r="K29" i="1"/>
  <c r="K35" i="1"/>
  <c r="K43" i="1"/>
  <c r="K49" i="1"/>
  <c r="AD40" i="3"/>
  <c r="AD7" i="3"/>
  <c r="AD17" i="3"/>
  <c r="AD20" i="3"/>
  <c r="J8" i="3"/>
  <c r="J14" i="3"/>
  <c r="J22" i="3"/>
  <c r="AE29" i="2"/>
  <c r="AE28" i="2" s="1"/>
  <c r="AE62" i="2" s="1"/>
  <c r="AE63" i="2" s="1"/>
  <c r="AE39" i="2"/>
  <c r="J55" i="2"/>
  <c r="AE57" i="2" s="1"/>
  <c r="AE7" i="2"/>
  <c r="AE15" i="2"/>
  <c r="AE19" i="2"/>
  <c r="AE23" i="2"/>
  <c r="J8" i="2"/>
  <c r="J14" i="2"/>
  <c r="J22" i="2"/>
  <c r="J29" i="2"/>
  <c r="J35" i="2"/>
  <c r="J43" i="2"/>
  <c r="J49" i="2"/>
  <c r="AE29" i="1"/>
  <c r="AE28" i="1" s="1"/>
  <c r="AE39" i="1"/>
  <c r="J55" i="1"/>
  <c r="AE57" i="1" s="1"/>
  <c r="AE7" i="1"/>
  <c r="AE15" i="1"/>
  <c r="AE19" i="1"/>
  <c r="AE23" i="1"/>
  <c r="J8" i="1"/>
  <c r="J14" i="1"/>
  <c r="J22" i="1"/>
  <c r="J29" i="1"/>
  <c r="J35" i="1"/>
  <c r="J43" i="1"/>
  <c r="J49" i="1"/>
  <c r="AC40" i="3"/>
  <c r="AC7" i="3"/>
  <c r="AC17" i="3"/>
  <c r="AC20" i="3"/>
  <c r="I8" i="3"/>
  <c r="I14" i="3"/>
  <c r="I22" i="3"/>
  <c r="I32" i="3"/>
  <c r="AD29" i="2"/>
  <c r="AD39" i="2"/>
  <c r="I55" i="2"/>
  <c r="AD57" i="2" s="1"/>
  <c r="AD7" i="2"/>
  <c r="AD15" i="2"/>
  <c r="AD19" i="2"/>
  <c r="AD23" i="2"/>
  <c r="I8" i="2"/>
  <c r="I14" i="2"/>
  <c r="I22" i="2"/>
  <c r="I29" i="2"/>
  <c r="I35" i="2"/>
  <c r="I43" i="2"/>
  <c r="I49" i="2"/>
  <c r="AD39" i="1"/>
  <c r="AD29" i="1"/>
  <c r="I55" i="1"/>
  <c r="AD57" i="1" s="1"/>
  <c r="AD7" i="1"/>
  <c r="AD15" i="1"/>
  <c r="AD19" i="1"/>
  <c r="AD23" i="1"/>
  <c r="I8" i="1"/>
  <c r="I14" i="1"/>
  <c r="I22" i="1"/>
  <c r="I29" i="1"/>
  <c r="I35" i="1"/>
  <c r="I43" i="1"/>
  <c r="I49" i="1"/>
  <c r="AB40" i="3"/>
  <c r="AB7" i="3"/>
  <c r="AB17" i="3"/>
  <c r="AB20" i="3"/>
  <c r="H8" i="3"/>
  <c r="H14" i="3"/>
  <c r="H22" i="3"/>
  <c r="AC39" i="2"/>
  <c r="AC29" i="2"/>
  <c r="H55" i="2"/>
  <c r="AC57" i="2" s="1"/>
  <c r="AC7" i="2"/>
  <c r="AC15" i="2"/>
  <c r="AC19" i="2"/>
  <c r="AC23" i="2"/>
  <c r="H8" i="2"/>
  <c r="H14" i="2"/>
  <c r="H22" i="2"/>
  <c r="H29" i="2"/>
  <c r="H35" i="2"/>
  <c r="H43" i="2"/>
  <c r="H49" i="2"/>
  <c r="AC39" i="1"/>
  <c r="AC29" i="1"/>
  <c r="H55" i="1"/>
  <c r="AC57" i="1" s="1"/>
  <c r="AC7" i="1"/>
  <c r="AC15" i="1"/>
  <c r="AC19" i="1"/>
  <c r="AC23" i="1"/>
  <c r="H8" i="1"/>
  <c r="H14" i="1"/>
  <c r="H22" i="1"/>
  <c r="H29" i="1"/>
  <c r="H35" i="1"/>
  <c r="H43" i="1"/>
  <c r="H49" i="1"/>
  <c r="AB21" i="2"/>
  <c r="AB19" i="2" s="1"/>
  <c r="AA7" i="3"/>
  <c r="AA17" i="3"/>
  <c r="AA20" i="3"/>
  <c r="AA40" i="3"/>
  <c r="G8" i="3"/>
  <c r="G14" i="3"/>
  <c r="G22" i="3"/>
  <c r="G51" i="2"/>
  <c r="G49" i="2" s="1"/>
  <c r="G30" i="2"/>
  <c r="G29" i="2" s="1"/>
  <c r="AB29" i="2"/>
  <c r="AB39" i="2"/>
  <c r="G55" i="2"/>
  <c r="AB57" i="2" s="1"/>
  <c r="AB7" i="2"/>
  <c r="AB15" i="2"/>
  <c r="AB23" i="2"/>
  <c r="G8" i="2"/>
  <c r="G14" i="2"/>
  <c r="G22" i="2"/>
  <c r="G35" i="2"/>
  <c r="G43" i="2"/>
  <c r="AB8" i="1"/>
  <c r="AB7" i="1" s="1"/>
  <c r="AB29" i="1"/>
  <c r="AB39" i="1"/>
  <c r="G55" i="1"/>
  <c r="AB57" i="1" s="1"/>
  <c r="AB15" i="1"/>
  <c r="AB19" i="1"/>
  <c r="AB23" i="1"/>
  <c r="G8" i="1"/>
  <c r="G14" i="1"/>
  <c r="G22" i="1"/>
  <c r="G29" i="1"/>
  <c r="G35" i="1"/>
  <c r="G43" i="1"/>
  <c r="G49" i="1"/>
  <c r="Z40" i="3"/>
  <c r="F17" i="2"/>
  <c r="F15" i="2"/>
  <c r="F22" i="1"/>
  <c r="Z7" i="3"/>
  <c r="Z17" i="3"/>
  <c r="Z20" i="3"/>
  <c r="F8" i="3"/>
  <c r="F14" i="3"/>
  <c r="F22" i="3"/>
  <c r="AA29" i="2"/>
  <c r="AA39" i="2"/>
  <c r="F55" i="2"/>
  <c r="AA57" i="2" s="1"/>
  <c r="AA7" i="2"/>
  <c r="AA15" i="2"/>
  <c r="AA19" i="2"/>
  <c r="AA23" i="2"/>
  <c r="F8" i="2"/>
  <c r="F22" i="2"/>
  <c r="F29" i="2"/>
  <c r="F35" i="2"/>
  <c r="F43" i="2"/>
  <c r="F49" i="2"/>
  <c r="AA29" i="1"/>
  <c r="AA39" i="1"/>
  <c r="F55" i="1"/>
  <c r="AA57" i="1" s="1"/>
  <c r="AA7" i="1"/>
  <c r="AA15" i="1"/>
  <c r="AA19" i="1"/>
  <c r="AA23" i="1"/>
  <c r="F8" i="1"/>
  <c r="F14" i="1"/>
  <c r="F29" i="1"/>
  <c r="F35" i="1"/>
  <c r="F43" i="1"/>
  <c r="F49" i="1"/>
  <c r="Y40" i="3"/>
  <c r="Y7" i="3"/>
  <c r="Y17" i="3"/>
  <c r="Y20" i="3"/>
  <c r="E8" i="3"/>
  <c r="E14" i="3"/>
  <c r="E22" i="3"/>
  <c r="B8" i="3"/>
  <c r="B14" i="3"/>
  <c r="B22" i="3"/>
  <c r="B32" i="3"/>
  <c r="V40" i="3"/>
  <c r="V24" i="3"/>
  <c r="V7" i="3"/>
  <c r="V17" i="3"/>
  <c r="W24" i="3"/>
  <c r="W43" i="3" s="1"/>
  <c r="W7" i="3"/>
  <c r="W17" i="3"/>
  <c r="W20" i="3"/>
  <c r="X7" i="3"/>
  <c r="X17" i="3"/>
  <c r="X20" i="3"/>
  <c r="X24" i="3"/>
  <c r="X43" i="3" s="1"/>
  <c r="C22" i="3"/>
  <c r="D22" i="3"/>
  <c r="D8" i="3"/>
  <c r="D14" i="3"/>
  <c r="X40" i="3"/>
  <c r="C8" i="3"/>
  <c r="C14" i="3"/>
  <c r="W40" i="3"/>
  <c r="Z29" i="1"/>
  <c r="Z39" i="1"/>
  <c r="E55" i="1"/>
  <c r="Z57" i="1" s="1"/>
  <c r="Z7" i="1"/>
  <c r="Z15" i="1"/>
  <c r="Z19" i="1"/>
  <c r="Z23" i="1"/>
  <c r="E8" i="1"/>
  <c r="E14" i="1"/>
  <c r="E22" i="1"/>
  <c r="E29" i="1"/>
  <c r="E35" i="1"/>
  <c r="E43" i="1"/>
  <c r="E49" i="1"/>
  <c r="B8" i="1"/>
  <c r="B14" i="1"/>
  <c r="B22" i="1"/>
  <c r="B29" i="1"/>
  <c r="B35" i="1"/>
  <c r="B49" i="1"/>
  <c r="B42" i="1" s="1"/>
  <c r="B55" i="1"/>
  <c r="W57" i="1" s="1"/>
  <c r="W7" i="1"/>
  <c r="W15" i="1"/>
  <c r="W23" i="1"/>
  <c r="W29" i="1"/>
  <c r="W39" i="1"/>
  <c r="Y29" i="1"/>
  <c r="Y39" i="1"/>
  <c r="D55" i="1"/>
  <c r="Y57" i="1" s="1"/>
  <c r="D8" i="1"/>
  <c r="D14" i="1"/>
  <c r="D22" i="1"/>
  <c r="D29" i="1"/>
  <c r="D35" i="1"/>
  <c r="D43" i="1"/>
  <c r="D49" i="1"/>
  <c r="X29" i="1"/>
  <c r="X39" i="1"/>
  <c r="C55" i="1"/>
  <c r="X57" i="1" s="1"/>
  <c r="C8" i="1"/>
  <c r="C35" i="1"/>
  <c r="C43" i="1"/>
  <c r="C49" i="1"/>
  <c r="C14" i="1"/>
  <c r="C22" i="1"/>
  <c r="C29" i="1"/>
  <c r="X19" i="1"/>
  <c r="X23" i="1"/>
  <c r="X7" i="1"/>
  <c r="X15" i="1"/>
  <c r="Y7" i="1"/>
  <c r="Y15" i="1"/>
  <c r="Y23" i="1"/>
  <c r="Y19" i="1"/>
  <c r="Z29" i="2"/>
  <c r="Z39" i="2"/>
  <c r="E55" i="2"/>
  <c r="Z57" i="2" s="1"/>
  <c r="Z7" i="2"/>
  <c r="Z15" i="2"/>
  <c r="Z19" i="2"/>
  <c r="Z23" i="2"/>
  <c r="E8" i="2"/>
  <c r="E14" i="2"/>
  <c r="E22" i="2"/>
  <c r="E29" i="2"/>
  <c r="E35" i="2"/>
  <c r="E43" i="2"/>
  <c r="E49" i="2"/>
  <c r="W29" i="2"/>
  <c r="W39" i="2"/>
  <c r="B55" i="2"/>
  <c r="W57" i="2" s="1"/>
  <c r="W7" i="2"/>
  <c r="W15" i="2"/>
  <c r="W23" i="2"/>
  <c r="B8" i="2"/>
  <c r="B14" i="2"/>
  <c r="B22" i="2"/>
  <c r="B29" i="2"/>
  <c r="B35" i="2"/>
  <c r="B49" i="2"/>
  <c r="B42" i="2" s="1"/>
  <c r="Y29" i="2"/>
  <c r="Y39" i="2"/>
  <c r="D55" i="2"/>
  <c r="Y57" i="2" s="1"/>
  <c r="Y7" i="2"/>
  <c r="Y15" i="2"/>
  <c r="Y19" i="2"/>
  <c r="Y23" i="2"/>
  <c r="D8" i="2"/>
  <c r="D14" i="2"/>
  <c r="D22" i="2"/>
  <c r="D29" i="2"/>
  <c r="D35" i="2"/>
  <c r="D43" i="2"/>
  <c r="D49" i="2"/>
  <c r="X29" i="2"/>
  <c r="X39" i="2"/>
  <c r="C55" i="2"/>
  <c r="X57" i="2" s="1"/>
  <c r="C8" i="2"/>
  <c r="C14" i="2"/>
  <c r="C22" i="2"/>
  <c r="C29" i="2"/>
  <c r="C35" i="2"/>
  <c r="C43" i="2"/>
  <c r="C49" i="2"/>
  <c r="X7" i="2"/>
  <c r="X15" i="2"/>
  <c r="X19" i="2"/>
  <c r="X23" i="2"/>
  <c r="W28" i="1" l="1"/>
  <c r="W62" i="1" s="1"/>
  <c r="W63" i="1" s="1"/>
  <c r="X28" i="1"/>
  <c r="X62" i="1" s="1"/>
  <c r="X63" i="1" s="1"/>
  <c r="V43" i="3"/>
  <c r="V33" i="3"/>
  <c r="Y43" i="3"/>
  <c r="AA43" i="3"/>
  <c r="Z29" i="3"/>
  <c r="Z24" i="3" s="1"/>
  <c r="Z33" i="3" s="1"/>
  <c r="AB29" i="3"/>
  <c r="AB24" i="3" s="1"/>
  <c r="AB33" i="3" s="1"/>
  <c r="H42" i="2"/>
  <c r="I42" i="2"/>
  <c r="X28" i="2"/>
  <c r="X62" i="2" s="1"/>
  <c r="X63" i="2" s="1"/>
  <c r="Z28" i="2"/>
  <c r="Z62" i="2" s="1"/>
  <c r="Z63" i="2" s="1"/>
  <c r="AD28" i="2"/>
  <c r="AD62" i="2" s="1"/>
  <c r="AD63" i="2" s="1"/>
  <c r="AB28" i="2"/>
  <c r="AB62" i="2" s="1"/>
  <c r="AB63" i="2" s="1"/>
  <c r="AA28" i="2"/>
  <c r="AA62" i="2" s="1"/>
  <c r="AA63" i="2" s="1"/>
  <c r="AF28" i="2"/>
  <c r="AF62" i="2" s="1"/>
  <c r="AF63" i="2" s="1"/>
  <c r="AG28" i="2"/>
  <c r="AG62" i="2" s="1"/>
  <c r="AG63" i="2" s="1"/>
  <c r="AH28" i="2"/>
  <c r="AH62" i="2" s="1"/>
  <c r="AH63" i="2" s="1"/>
  <c r="E42" i="2"/>
  <c r="E34" i="2" s="1"/>
  <c r="K42" i="1"/>
  <c r="K34" i="1" s="1"/>
  <c r="M42" i="1"/>
  <c r="M34" i="1" s="1"/>
  <c r="F14" i="2"/>
  <c r="AC28" i="1"/>
  <c r="AC62" i="1" s="1"/>
  <c r="AC63" i="1" s="1"/>
  <c r="H7" i="2"/>
  <c r="AD28" i="1"/>
  <c r="AD62" i="1" s="1"/>
  <c r="AD63" i="1" s="1"/>
  <c r="AE24" i="3"/>
  <c r="AE33" i="3" s="1"/>
  <c r="AC29" i="3"/>
  <c r="X49" i="2"/>
  <c r="X56" i="2" s="1"/>
  <c r="Z43" i="3"/>
  <c r="AD24" i="3"/>
  <c r="AD33" i="3" s="1"/>
  <c r="AH28" i="1"/>
  <c r="AH62" i="1" s="1"/>
  <c r="AH63" i="1" s="1"/>
  <c r="AC28" i="2"/>
  <c r="AG24" i="3"/>
  <c r="AG33" i="3" s="1"/>
  <c r="AA28" i="1"/>
  <c r="AA62" i="1" s="1"/>
  <c r="AA63" i="1" s="1"/>
  <c r="F32" i="3"/>
  <c r="F30" i="3" s="1"/>
  <c r="I34" i="2"/>
  <c r="G42" i="1"/>
  <c r="Z49" i="2"/>
  <c r="Z56" i="2" s="1"/>
  <c r="Y28" i="2"/>
  <c r="Y62" i="2" s="1"/>
  <c r="Y63" i="2" s="1"/>
  <c r="W28" i="2"/>
  <c r="W62" i="2" s="1"/>
  <c r="W63" i="2" s="1"/>
  <c r="AA49" i="2"/>
  <c r="AA56" i="2" s="1"/>
  <c r="AE49" i="2"/>
  <c r="AH49" i="2"/>
  <c r="AH56" i="2" s="1"/>
  <c r="AD49" i="2"/>
  <c r="AD56" i="2" s="1"/>
  <c r="AC49" i="2"/>
  <c r="AC56" i="2" s="1"/>
  <c r="AC62" i="2"/>
  <c r="AC63" i="2" s="1"/>
  <c r="Y49" i="2"/>
  <c r="Y56" i="2" s="1"/>
  <c r="AE56" i="2"/>
  <c r="F42" i="2"/>
  <c r="G42" i="2"/>
  <c r="G34" i="2" s="1"/>
  <c r="J42" i="2"/>
  <c r="J34" i="2" s="1"/>
  <c r="L42" i="2"/>
  <c r="L34" i="2" s="1"/>
  <c r="K7" i="1"/>
  <c r="W49" i="1"/>
  <c r="W56" i="1" s="1"/>
  <c r="AB28" i="1"/>
  <c r="AB62" i="1" s="1"/>
  <c r="AB63" i="1" s="1"/>
  <c r="AF28" i="1"/>
  <c r="AF62" i="1" s="1"/>
  <c r="AF63" i="1" s="1"/>
  <c r="AG28" i="1"/>
  <c r="AG62" i="1" s="1"/>
  <c r="AG63" i="1" s="1"/>
  <c r="Y28" i="1"/>
  <c r="Y62" i="1" s="1"/>
  <c r="Y63" i="1" s="1"/>
  <c r="Z28" i="1"/>
  <c r="Z62" i="1" s="1"/>
  <c r="Z63" i="1" s="1"/>
  <c r="AE49" i="1"/>
  <c r="AE56" i="1" s="1"/>
  <c r="AE62" i="1"/>
  <c r="AE63" i="1" s="1"/>
  <c r="AH49" i="1"/>
  <c r="AH56" i="1" s="1"/>
  <c r="D42" i="1"/>
  <c r="D34" i="1" s="1"/>
  <c r="I7" i="1"/>
  <c r="X33" i="3"/>
  <c r="I30" i="3"/>
  <c r="AB43" i="3"/>
  <c r="J7" i="3"/>
  <c r="Y24" i="3"/>
  <c r="Y33" i="3" s="1"/>
  <c r="AD43" i="3"/>
  <c r="AA29" i="3"/>
  <c r="AA24" i="3" s="1"/>
  <c r="AA33" i="3" s="1"/>
  <c r="D32" i="3"/>
  <c r="D30" i="3" s="1"/>
  <c r="B30" i="3"/>
  <c r="J32" i="3"/>
  <c r="J30" i="3" s="1"/>
  <c r="AF24" i="3"/>
  <c r="AF33" i="3" s="1"/>
  <c r="H7" i="3"/>
  <c r="W33" i="3"/>
  <c r="AC43" i="3"/>
  <c r="H32" i="3"/>
  <c r="H30" i="3" s="1"/>
  <c r="L7" i="3"/>
  <c r="L38" i="3" s="1"/>
  <c r="C7" i="2"/>
  <c r="G7" i="2"/>
  <c r="C42" i="2"/>
  <c r="C34" i="2" s="1"/>
  <c r="H34" i="2"/>
  <c r="K42" i="2"/>
  <c r="K34" i="2" s="1"/>
  <c r="E7" i="3"/>
  <c r="C32" i="3"/>
  <c r="C30" i="3" s="1"/>
  <c r="C7" i="3"/>
  <c r="B7" i="3"/>
  <c r="E32" i="3"/>
  <c r="E30" i="3" s="1"/>
  <c r="G32" i="3"/>
  <c r="G30" i="3" s="1"/>
  <c r="K7" i="3"/>
  <c r="K38" i="3" s="1"/>
  <c r="M7" i="3"/>
  <c r="M38" i="3" s="1"/>
  <c r="J7" i="1"/>
  <c r="E42" i="1"/>
  <c r="E34" i="1" s="1"/>
  <c r="C7" i="1"/>
  <c r="B7" i="1"/>
  <c r="E7" i="1"/>
  <c r="G34" i="1"/>
  <c r="H7" i="1"/>
  <c r="J42" i="1"/>
  <c r="J34" i="1" s="1"/>
  <c r="L7" i="1"/>
  <c r="M7" i="1"/>
  <c r="I7" i="3"/>
  <c r="D7" i="3"/>
  <c r="F7" i="3"/>
  <c r="G7" i="3"/>
  <c r="L7" i="2"/>
  <c r="B7" i="2"/>
  <c r="F7" i="2"/>
  <c r="J7" i="2"/>
  <c r="M7" i="2"/>
  <c r="D42" i="2"/>
  <c r="D34" i="2" s="1"/>
  <c r="D7" i="2"/>
  <c r="E7" i="2"/>
  <c r="F34" i="2"/>
  <c r="I7" i="2"/>
  <c r="I63" i="2" s="1"/>
  <c r="K7" i="2"/>
  <c r="M42" i="2"/>
  <c r="M34" i="2" s="1"/>
  <c r="B34" i="2"/>
  <c r="F42" i="1"/>
  <c r="F34" i="1" s="1"/>
  <c r="F7" i="1"/>
  <c r="H42" i="1"/>
  <c r="H34" i="1" s="1"/>
  <c r="I42" i="1"/>
  <c r="I34" i="1" s="1"/>
  <c r="D7" i="1"/>
  <c r="B34" i="1"/>
  <c r="G7" i="1"/>
  <c r="L42" i="1"/>
  <c r="L34" i="1" s="1"/>
  <c r="C42" i="1"/>
  <c r="C34" i="1" s="1"/>
  <c r="N42" i="1"/>
  <c r="N34" i="1" s="1"/>
  <c r="AI28" i="2"/>
  <c r="AI62" i="2" s="1"/>
  <c r="AI63" i="2" s="1"/>
  <c r="N42" i="2"/>
  <c r="N34" i="2" s="1"/>
  <c r="N7" i="2"/>
  <c r="AI28" i="1"/>
  <c r="AI62" i="1" s="1"/>
  <c r="AI63" i="1" s="1"/>
  <c r="N7" i="1"/>
  <c r="X49" i="1" l="1"/>
  <c r="X56" i="1" s="1"/>
  <c r="H63" i="1"/>
  <c r="AC49" i="1"/>
  <c r="AC56" i="1" s="1"/>
  <c r="H38" i="3"/>
  <c r="AC24" i="3"/>
  <c r="AC33" i="3" s="1"/>
  <c r="C38" i="3"/>
  <c r="AF49" i="2"/>
  <c r="AF56" i="2" s="1"/>
  <c r="AB49" i="2"/>
  <c r="AB56" i="2" s="1"/>
  <c r="AG49" i="2"/>
  <c r="AG56" i="2" s="1"/>
  <c r="H63" i="2"/>
  <c r="AF49" i="1"/>
  <c r="AF56" i="1" s="1"/>
  <c r="AG49" i="1"/>
  <c r="AG56" i="1" s="1"/>
  <c r="L63" i="1"/>
  <c r="M63" i="1"/>
  <c r="AA49" i="1"/>
  <c r="AA56" i="1" s="1"/>
  <c r="J38" i="3"/>
  <c r="AD49" i="1"/>
  <c r="AD56" i="1" s="1"/>
  <c r="F38" i="3"/>
  <c r="B63" i="2"/>
  <c r="J63" i="2"/>
  <c r="F63" i="2"/>
  <c r="E63" i="1"/>
  <c r="K63" i="1"/>
  <c r="G63" i="1"/>
  <c r="B63" i="1"/>
  <c r="L63" i="2"/>
  <c r="E63" i="2"/>
  <c r="W49" i="2"/>
  <c r="W56" i="2" s="1"/>
  <c r="D63" i="2"/>
  <c r="K63" i="2"/>
  <c r="G63" i="2"/>
  <c r="AB49" i="1"/>
  <c r="AB56" i="1" s="1"/>
  <c r="Y49" i="1"/>
  <c r="Y56" i="1" s="1"/>
  <c r="J63" i="1"/>
  <c r="Z49" i="1"/>
  <c r="Z56" i="1" s="1"/>
  <c r="I63" i="1"/>
  <c r="B38" i="3"/>
  <c r="I38" i="3"/>
  <c r="E38" i="3"/>
  <c r="D38" i="3"/>
  <c r="C63" i="2"/>
  <c r="G38" i="3"/>
  <c r="D63" i="1"/>
  <c r="F63" i="1"/>
  <c r="C63" i="1"/>
  <c r="M63" i="2"/>
  <c r="AI49" i="1"/>
  <c r="AI56" i="1" s="1"/>
  <c r="AI49" i="2"/>
  <c r="AI56" i="2" s="1"/>
  <c r="N63" i="2"/>
  <c r="N63" i="1"/>
</calcChain>
</file>

<file path=xl/sharedStrings.xml><?xml version="1.0" encoding="utf-8"?>
<sst xmlns="http://schemas.openxmlformats.org/spreadsheetml/2006/main" count="379" uniqueCount="167">
  <si>
    <t>VASTAAVAA:</t>
  </si>
  <si>
    <t>VASTATTAVAA:</t>
  </si>
  <si>
    <t>OMA PÄÄOMA</t>
  </si>
  <si>
    <t>TOIMEKSIANTOJEN PÄÄOMAT</t>
  </si>
  <si>
    <t>VIERAS PÄÄOMA</t>
  </si>
  <si>
    <t>VASTATTAVAA YHTEENSÄ</t>
  </si>
  <si>
    <t>Omavaraisuus-%</t>
  </si>
  <si>
    <t xml:space="preserve">Lainakanta: </t>
  </si>
  <si>
    <t>VASTAAVAA YHTEENSÄ</t>
  </si>
  <si>
    <t xml:space="preserve">  Liittymismaksurahasto</t>
  </si>
  <si>
    <t>POISTOERO JA VAP.EHT.VAR.</t>
  </si>
  <si>
    <t>PAKOLLISET VARAUKSET</t>
  </si>
  <si>
    <t xml:space="preserve">    Pitkäaikaiset saamiset</t>
  </si>
  <si>
    <t xml:space="preserve">    Lyhytaikaiset saamiset</t>
  </si>
  <si>
    <t>2001</t>
  </si>
  <si>
    <t>Lähde: Tilastokeskus.</t>
  </si>
  <si>
    <t>VÄHEMMISTÖOSUUDET</t>
  </si>
  <si>
    <t>KONSERNIRESERVI</t>
  </si>
  <si>
    <t>1999</t>
  </si>
  <si>
    <t>2002</t>
  </si>
  <si>
    <t>2003</t>
  </si>
  <si>
    <t>Lähde: Tilastokeskus</t>
  </si>
  <si>
    <t>2004</t>
  </si>
  <si>
    <t xml:space="preserve">Lähde: Tilastokeskus. </t>
  </si>
  <si>
    <t>2005</t>
  </si>
  <si>
    <t>2006</t>
  </si>
  <si>
    <t>2007</t>
  </si>
  <si>
    <t xml:space="preserve">Takaukset saman kons. yht. puol. </t>
  </si>
  <si>
    <t>Takaukset muiden puolesta</t>
  </si>
  <si>
    <t>Takaukset yhteensä</t>
  </si>
  <si>
    <t>2008</t>
  </si>
  <si>
    <t xml:space="preserve">  Jäljellä oleva pääoma</t>
  </si>
  <si>
    <t>2009</t>
  </si>
  <si>
    <t>(arvostuserät)</t>
  </si>
  <si>
    <t>2010</t>
  </si>
  <si>
    <t>2011</t>
  </si>
  <si>
    <t>2012</t>
  </si>
  <si>
    <t>2013</t>
  </si>
  <si>
    <t xml:space="preserve">                  Milj.  euroa</t>
  </si>
  <si>
    <t xml:space="preserve">                  euroa/asukas</t>
  </si>
  <si>
    <t xml:space="preserve">                   milj. euroa</t>
  </si>
  <si>
    <t xml:space="preserve">                    euroa/as.</t>
  </si>
  <si>
    <t>2014</t>
  </si>
  <si>
    <t>.</t>
  </si>
  <si>
    <t xml:space="preserve">    Koroton</t>
  </si>
  <si>
    <t xml:space="preserve">    Korollinen</t>
  </si>
  <si>
    <t xml:space="preserve">    1. Aineettomat oikeudet</t>
  </si>
  <si>
    <t xml:space="preserve">        Tietokoneohjelmistot</t>
  </si>
  <si>
    <t xml:space="preserve">    2. Muut pitkävaikuitteiset menot</t>
  </si>
  <si>
    <t xml:space="preserve">    3. Ennakkomaksut</t>
  </si>
  <si>
    <t xml:space="preserve">    1. Maa- ja vesialueet</t>
  </si>
  <si>
    <t xml:space="preserve">    2. Rakennukset</t>
  </si>
  <si>
    <t xml:space="preserve">    3. Kiinteät rakenteet ja laitteet</t>
  </si>
  <si>
    <t xml:space="preserve">    4. Koneet ja kalusto</t>
  </si>
  <si>
    <t xml:space="preserve">    5. Muut aineelliset hyödykkeet</t>
  </si>
  <si>
    <t xml:space="preserve">    6. Ennakkomaksut ja keskener. hank.</t>
  </si>
  <si>
    <t>III  Sijoitukset</t>
  </si>
  <si>
    <t>II   Aineelliset hyödykkeet</t>
  </si>
  <si>
    <t>I   Aineettomat hyödykkeet</t>
  </si>
  <si>
    <t xml:space="preserve">    1. Osakkeet ja osuudet</t>
  </si>
  <si>
    <t xml:space="preserve">    2. Joukkovelkakirjalainasaamiset</t>
  </si>
  <si>
    <t xml:space="preserve">    3. Muut lainasaamiset</t>
  </si>
  <si>
    <t xml:space="preserve">    4. Muut saamiset</t>
  </si>
  <si>
    <t>A  PYSYVÄT VASTAAVAT</t>
  </si>
  <si>
    <t>B  TOIMEKSIANTOJEN VARAT</t>
  </si>
  <si>
    <t xml:space="preserve">   1. Valtion toimeksiannot</t>
  </si>
  <si>
    <t xml:space="preserve">   2. Lahjoitusrahastojen erityiskatteet</t>
  </si>
  <si>
    <t xml:space="preserve">   3. Muut toimeksiantojen varat</t>
  </si>
  <si>
    <t>C  VAIHTUVAT VASTAAVAT</t>
  </si>
  <si>
    <t>I    Vaihto-omaisuus</t>
  </si>
  <si>
    <t xml:space="preserve">    1. Aineet ja tarvikkeet</t>
  </si>
  <si>
    <t xml:space="preserve">    2. Keskeneräiset tuotteet</t>
  </si>
  <si>
    <t xml:space="preserve">    3. Valmiit tuotteet/tavarat</t>
  </si>
  <si>
    <t xml:space="preserve">    4. Muu vaihto-omaisuus</t>
  </si>
  <si>
    <t xml:space="preserve">    5. Ennakkomaksut</t>
  </si>
  <si>
    <t>II   Saamiset</t>
  </si>
  <si>
    <t xml:space="preserve">    1. Myyntisaamiset</t>
  </si>
  <si>
    <t xml:space="preserve">    4. Siirtosaamiset</t>
  </si>
  <si>
    <t xml:space="preserve">    3. Muut saamiset</t>
  </si>
  <si>
    <t xml:space="preserve">    2. Lainasaamiset</t>
  </si>
  <si>
    <t>III   Rahoitusarvopaperit</t>
  </si>
  <si>
    <t xml:space="preserve">    2. Sijoitukset rahamarkkinainstrum.</t>
  </si>
  <si>
    <t xml:space="preserve">    3. Joukkovelkakirjalainasaamiset</t>
  </si>
  <si>
    <t xml:space="preserve">    4. Muut arvopaperit</t>
  </si>
  <si>
    <t>IV  Rahat ja pankkisaamiset</t>
  </si>
  <si>
    <t>A  OMA PÄÄOMA</t>
  </si>
  <si>
    <t>I    Peruspääoma</t>
  </si>
  <si>
    <t>II   Arvonkorotusrahasto</t>
  </si>
  <si>
    <t>III   Muut omat rahastot</t>
  </si>
  <si>
    <t>IV  Edell. tilikausien yli-/alijäämä</t>
  </si>
  <si>
    <t>V   Tilikauden yli-/alijäämä</t>
  </si>
  <si>
    <t>B  POISTOERO JA VAP.EHT.VAR.</t>
  </si>
  <si>
    <t xml:space="preserve">    1. Poistoero</t>
  </si>
  <si>
    <t xml:space="preserve">    2. Vapaaehtoiset varaukset</t>
  </si>
  <si>
    <t>C  PAKOLLISET VARAUKSET</t>
  </si>
  <si>
    <t xml:space="preserve">    1. Eläkevaraukset</t>
  </si>
  <si>
    <t xml:space="preserve">    2. Muut pakolliset varaukset</t>
  </si>
  <si>
    <t>D  TOIMEKSIANTOJEN PÄÄOMAT</t>
  </si>
  <si>
    <t xml:space="preserve">    1. Valtion toimeksiannot</t>
  </si>
  <si>
    <t xml:space="preserve">    2. Lahjoitusrahastojen pääomat</t>
  </si>
  <si>
    <t xml:space="preserve">    3. Muut toimeksiantojen pääomat</t>
  </si>
  <si>
    <t>E  VIERAS PÄÄOMA</t>
  </si>
  <si>
    <t>I   Pitkäaikainen</t>
  </si>
  <si>
    <t xml:space="preserve">    1. Joukkovelkakirjalainat</t>
  </si>
  <si>
    <t xml:space="preserve">    2. Lainat rah.- ja vak.laitoksilta</t>
  </si>
  <si>
    <t xml:space="preserve">    3. Lainat julkisyhteisöiltä</t>
  </si>
  <si>
    <t xml:space="preserve">    4. Lainat muilta luotonantajilta</t>
  </si>
  <si>
    <t xml:space="preserve">    5. Saadut ennakot</t>
  </si>
  <si>
    <t xml:space="preserve">    6. Ostovelat</t>
  </si>
  <si>
    <t xml:space="preserve">    7. Liittymismaksut ja muut velat</t>
  </si>
  <si>
    <t xml:space="preserve">    8. Siirtovelat</t>
  </si>
  <si>
    <t>II   Lyhytaikainen</t>
  </si>
  <si>
    <t>Taseen tunnusluvut</t>
  </si>
  <si>
    <t>Kertynyt yli-/alijäämä:</t>
  </si>
  <si>
    <t>Lainasaamiset, milj. €</t>
  </si>
  <si>
    <t>Rahavarat, milj. €</t>
  </si>
  <si>
    <t>2016*</t>
  </si>
  <si>
    <t>2015</t>
  </si>
  <si>
    <t>Kuntien taseet 31.12.2009-2016, milj. €</t>
  </si>
  <si>
    <t xml:space="preserve">Takaukset saman kons. yhteisöjen puol. </t>
  </si>
  <si>
    <t>Taseen tunnusluvut:</t>
  </si>
  <si>
    <t>Kuntayhtymien taseet 31.12.2009-2016, milj. €</t>
  </si>
  <si>
    <t>PYSYVÄT VASTAAVAT</t>
  </si>
  <si>
    <t>Aineettomat hyödykkeet</t>
  </si>
  <si>
    <t xml:space="preserve">     Aineettomat oikeudet</t>
  </si>
  <si>
    <t xml:space="preserve">     Konserniliikearvo</t>
  </si>
  <si>
    <t xml:space="preserve">     Muut pitkävaikuitteiset menot</t>
  </si>
  <si>
    <t xml:space="preserve">     Ennakkomaksut</t>
  </si>
  <si>
    <t>Aineelliset hyödykkeet</t>
  </si>
  <si>
    <t xml:space="preserve">    Maa- ja vesialueet</t>
  </si>
  <si>
    <t xml:space="preserve">    Rakennukset</t>
  </si>
  <si>
    <t xml:space="preserve">    Kiinteät rakenteet ja laitteet</t>
  </si>
  <si>
    <t xml:space="preserve">    Koneet ja kalusto</t>
  </si>
  <si>
    <t xml:space="preserve">    Muut aineelliset hyödykkeet</t>
  </si>
  <si>
    <t xml:space="preserve">    Ennakkomaksut ja keskener. hank.</t>
  </si>
  <si>
    <t>Sijoitukset</t>
  </si>
  <si>
    <t xml:space="preserve">    Osakkuusyhteisöosuudet</t>
  </si>
  <si>
    <t xml:space="preserve">    Muut osakkeet ja osuudet</t>
  </si>
  <si>
    <t xml:space="preserve">    Joukkovelkakirjalainasaamiset</t>
  </si>
  <si>
    <t xml:space="preserve">    Muut lainasaamiset</t>
  </si>
  <si>
    <t xml:space="preserve">    Muut saamiset</t>
  </si>
  <si>
    <t>TOIMEKSIANTOJEN VARAT</t>
  </si>
  <si>
    <t>VAIHTUVAT VASTAAVAT</t>
  </si>
  <si>
    <t>Vaihto-omaisuus</t>
  </si>
  <si>
    <t>Saamiset</t>
  </si>
  <si>
    <t>Rahoitusarvopaperit</t>
  </si>
  <si>
    <t>Rahat ja pankkisaamiset</t>
  </si>
  <si>
    <t>Peruspääoma</t>
  </si>
  <si>
    <t>Osuus ky:n oman pääoman lisäyks.</t>
  </si>
  <si>
    <t>Säätiöiden ja yhdistysten perupääomat</t>
  </si>
  <si>
    <t>Arvonkorotusrahasto</t>
  </si>
  <si>
    <t>Muut omat rahastot</t>
  </si>
  <si>
    <t>Tilikauden yli-/alijäämä</t>
  </si>
  <si>
    <t>Edellisten tilikausien yli-/alijäämä</t>
  </si>
  <si>
    <t>Poistoero</t>
  </si>
  <si>
    <t>Vapaaehtoiset varaukset</t>
  </si>
  <si>
    <t>Eläkevaraukset</t>
  </si>
  <si>
    <t>Muut pakolliset varaukset</t>
  </si>
  <si>
    <t>Pitkäaikainen</t>
  </si>
  <si>
    <t>Lyhytaikainen</t>
  </si>
  <si>
    <t>Rahavarat, milj. euroa</t>
  </si>
  <si>
    <t xml:space="preserve">                                    euroa/asukas</t>
  </si>
  <si>
    <t>Lainasaamiset, milj. euroa</t>
  </si>
  <si>
    <t>Kuntien konsernitaseet 31.12.2009-2016, milj. €</t>
  </si>
  <si>
    <r>
      <t xml:space="preserve">Lainakanta:               </t>
    </r>
    <r>
      <rPr>
        <sz val="10"/>
        <rFont val="Arial Narrow"/>
        <family val="2"/>
      </rPr>
      <t xml:space="preserve">  milj. euroa</t>
    </r>
  </si>
  <si>
    <t>Kertynyt yli-/alijäämä, milj. euroa</t>
  </si>
  <si>
    <t xml:space="preserve">        Sadut ennakot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</si>
</sst>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);\(#,##0\)"/>
    <numFmt numFmtId="165" formatCode="#,##0.0"/>
  </numFmts>
  <fonts count="9" x14ac:knownFonts="1">
    <font>
      <sz val="10"/>
      <name val="Helv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8"/>
      <name val="Helv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164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0" fontId="3" fillId="0" borderId="0" xfId="0" applyFont="1"/>
    <xf numFmtId="0" fontId="5" fillId="0" borderId="0" xfId="0" applyFont="1"/>
    <xf numFmtId="3" fontId="1" fillId="0" borderId="0" xfId="0" applyNumberFormat="1" applyFont="1"/>
    <xf numFmtId="14" fontId="2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" fillId="0" borderId="1" xfId="0" applyFont="1" applyBorder="1"/>
    <xf numFmtId="3" fontId="3" fillId="0" borderId="2" xfId="0" applyNumberFormat="1" applyFont="1" applyBorder="1" applyProtection="1"/>
    <xf numFmtId="3" fontId="1" fillId="0" borderId="2" xfId="0" applyNumberFormat="1" applyFont="1" applyBorder="1" applyProtection="1"/>
    <xf numFmtId="3" fontId="5" fillId="0" borderId="2" xfId="0" applyNumberFormat="1" applyFont="1" applyBorder="1" applyProtection="1"/>
    <xf numFmtId="3" fontId="5" fillId="0" borderId="2" xfId="0" applyNumberFormat="1" applyFont="1" applyBorder="1"/>
    <xf numFmtId="3" fontId="1" fillId="0" borderId="2" xfId="0" applyNumberFormat="1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0" fontId="1" fillId="0" borderId="4" xfId="0" applyFont="1" applyBorder="1"/>
    <xf numFmtId="0" fontId="3" fillId="0" borderId="6" xfId="0" applyFont="1" applyBorder="1" applyAlignment="1" applyProtection="1">
      <alignment horizontal="left"/>
    </xf>
    <xf numFmtId="3" fontId="3" fillId="0" borderId="7" xfId="0" applyNumberFormat="1" applyFont="1" applyBorder="1" applyProtection="1"/>
    <xf numFmtId="0" fontId="1" fillId="0" borderId="6" xfId="0" applyFont="1" applyBorder="1" applyAlignment="1" applyProtection="1">
      <alignment horizontal="left"/>
    </xf>
    <xf numFmtId="3" fontId="1" fillId="0" borderId="7" xfId="0" applyNumberFormat="1" applyFont="1" applyBorder="1" applyProtection="1"/>
    <xf numFmtId="0" fontId="5" fillId="0" borderId="6" xfId="0" applyFont="1" applyBorder="1" applyAlignment="1" applyProtection="1">
      <alignment horizontal="left"/>
    </xf>
    <xf numFmtId="3" fontId="5" fillId="0" borderId="7" xfId="0" applyNumberFormat="1" applyFont="1" applyBorder="1"/>
    <xf numFmtId="0" fontId="1" fillId="0" borderId="6" xfId="0" applyFont="1" applyBorder="1"/>
    <xf numFmtId="3" fontId="1" fillId="0" borderId="7" xfId="0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5" fillId="0" borderId="7" xfId="0" applyNumberFormat="1" applyFont="1" applyBorder="1" applyProtection="1"/>
    <xf numFmtId="0" fontId="3" fillId="0" borderId="6" xfId="0" applyFont="1" applyBorder="1"/>
    <xf numFmtId="3" fontId="3" fillId="0" borderId="7" xfId="0" applyNumberFormat="1" applyFont="1" applyBorder="1"/>
    <xf numFmtId="0" fontId="3" fillId="0" borderId="8" xfId="0" applyFont="1" applyBorder="1" applyAlignment="1" applyProtection="1">
      <alignment horizontal="left"/>
    </xf>
    <xf numFmtId="3" fontId="3" fillId="0" borderId="9" xfId="0" applyNumberFormat="1" applyFont="1" applyBorder="1" applyProtection="1"/>
    <xf numFmtId="3" fontId="3" fillId="0" borderId="10" xfId="0" applyNumberFormat="1" applyFont="1" applyBorder="1" applyProtection="1"/>
    <xf numFmtId="0" fontId="4" fillId="2" borderId="3" xfId="0" applyFont="1" applyFill="1" applyBorder="1" applyAlignment="1" applyProtection="1">
      <alignment horizontal="left"/>
    </xf>
    <xf numFmtId="49" fontId="3" fillId="2" borderId="3" xfId="0" applyNumberFormat="1" applyFont="1" applyFill="1" applyBorder="1" applyAlignment="1" applyProtection="1">
      <alignment horizontal="center"/>
    </xf>
    <xf numFmtId="1" fontId="1" fillId="0" borderId="2" xfId="0" applyNumberFormat="1" applyFont="1" applyBorder="1"/>
    <xf numFmtId="0" fontId="1" fillId="0" borderId="2" xfId="0" applyFont="1" applyBorder="1"/>
    <xf numFmtId="1" fontId="3" fillId="0" borderId="2" xfId="0" applyNumberFormat="1" applyFont="1" applyBorder="1"/>
    <xf numFmtId="0" fontId="1" fillId="0" borderId="7" xfId="0" applyFont="1" applyBorder="1"/>
    <xf numFmtId="164" fontId="3" fillId="0" borderId="6" xfId="0" applyNumberFormat="1" applyFont="1" applyBorder="1" applyAlignment="1" applyProtection="1">
      <alignment horizontal="left"/>
    </xf>
    <xf numFmtId="3" fontId="1" fillId="0" borderId="9" xfId="0" applyNumberFormat="1" applyFont="1" applyBorder="1"/>
    <xf numFmtId="3" fontId="1" fillId="0" borderId="10" xfId="0" applyNumberFormat="1" applyFont="1" applyBorder="1"/>
    <xf numFmtId="164" fontId="1" fillId="0" borderId="1" xfId="0" applyNumberFormat="1" applyFont="1" applyBorder="1" applyProtection="1"/>
    <xf numFmtId="165" fontId="1" fillId="0" borderId="2" xfId="0" applyNumberFormat="1" applyFont="1" applyBorder="1" applyProtection="1"/>
    <xf numFmtId="164" fontId="1" fillId="0" borderId="5" xfId="0" applyNumberFormat="1" applyFont="1" applyBorder="1" applyProtection="1"/>
    <xf numFmtId="165" fontId="1" fillId="0" borderId="7" xfId="0" applyNumberFormat="1" applyFont="1" applyBorder="1" applyProtection="1"/>
    <xf numFmtId="3" fontId="3" fillId="0" borderId="12" xfId="0" applyNumberFormat="1" applyFont="1" applyBorder="1" applyProtection="1"/>
    <xf numFmtId="3" fontId="1" fillId="0" borderId="12" xfId="0" applyNumberFormat="1" applyFont="1" applyBorder="1" applyProtection="1"/>
    <xf numFmtId="3" fontId="5" fillId="0" borderId="12" xfId="0" applyNumberFormat="1" applyFont="1" applyBorder="1"/>
    <xf numFmtId="3" fontId="1" fillId="0" borderId="12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 applyProtection="1"/>
    <xf numFmtId="49" fontId="3" fillId="2" borderId="17" xfId="0" applyNumberFormat="1" applyFont="1" applyFill="1" applyBorder="1" applyAlignment="1" applyProtection="1">
      <alignment horizontal="center"/>
    </xf>
    <xf numFmtId="164" fontId="1" fillId="0" borderId="11" xfId="0" applyNumberFormat="1" applyFont="1" applyBorder="1" applyProtection="1"/>
    <xf numFmtId="3" fontId="5" fillId="0" borderId="12" xfId="0" applyNumberFormat="1" applyFont="1" applyBorder="1" applyProtection="1"/>
    <xf numFmtId="0" fontId="1" fillId="0" borderId="0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3" fillId="0" borderId="14" xfId="0" applyFont="1" applyBorder="1" applyAlignment="1" applyProtection="1">
      <alignment horizontal="left"/>
    </xf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21" xfId="0" applyNumberFormat="1" applyFont="1" applyBorder="1" applyProtection="1"/>
    <xf numFmtId="3" fontId="3" fillId="0" borderId="0" xfId="0" applyNumberFormat="1" applyFont="1" applyBorder="1" applyProtection="1"/>
    <xf numFmtId="3" fontId="1" fillId="0" borderId="0" xfId="0" applyNumberFormat="1" applyFont="1" applyBorder="1" applyProtection="1"/>
    <xf numFmtId="3" fontId="5" fillId="0" borderId="0" xfId="0" applyNumberFormat="1" applyFont="1" applyBorder="1"/>
    <xf numFmtId="3" fontId="1" fillId="0" borderId="0" xfId="0" applyNumberFormat="1" applyFont="1" applyBorder="1"/>
    <xf numFmtId="3" fontId="2" fillId="0" borderId="12" xfId="0" applyNumberFormat="1" applyFont="1" applyBorder="1"/>
    <xf numFmtId="3" fontId="8" fillId="0" borderId="7" xfId="0" applyNumberFormat="1" applyFont="1" applyBorder="1" applyAlignment="1">
      <alignment horizontal="center"/>
    </xf>
    <xf numFmtId="0" fontId="1" fillId="0" borderId="22" xfId="0" applyFont="1" applyBorder="1"/>
    <xf numFmtId="0" fontId="3" fillId="0" borderId="23" xfId="0" applyFont="1" applyBorder="1" applyAlignment="1" applyProtection="1">
      <alignment horizontal="left"/>
    </xf>
    <xf numFmtId="0" fontId="1" fillId="0" borderId="23" xfId="0" applyFont="1" applyBorder="1" applyAlignment="1" applyProtection="1">
      <alignment horizontal="left"/>
    </xf>
    <xf numFmtId="0" fontId="1" fillId="0" borderId="23" xfId="0" applyFont="1" applyBorder="1"/>
    <xf numFmtId="0" fontId="3" fillId="0" borderId="23" xfId="0" applyFont="1" applyBorder="1"/>
    <xf numFmtId="0" fontId="5" fillId="0" borderId="23" xfId="0" applyFont="1" applyBorder="1" applyAlignment="1" applyProtection="1">
      <alignment horizontal="left"/>
    </xf>
    <xf numFmtId="164" fontId="3" fillId="0" borderId="23" xfId="0" applyNumberFormat="1" applyFont="1" applyBorder="1" applyAlignment="1" applyProtection="1">
      <alignment horizontal="left"/>
    </xf>
    <xf numFmtId="164" fontId="1" fillId="0" borderId="0" xfId="0" applyNumberFormat="1" applyFont="1" applyBorder="1" applyProtection="1"/>
    <xf numFmtId="0" fontId="3" fillId="0" borderId="0" xfId="0" applyFont="1" applyBorder="1"/>
    <xf numFmtId="0" fontId="5" fillId="0" borderId="0" xfId="0" applyFont="1" applyBorder="1"/>
    <xf numFmtId="3" fontId="8" fillId="0" borderId="7" xfId="0" applyNumberFormat="1" applyFont="1" applyBorder="1" applyAlignment="1" applyProtection="1">
      <alignment horizontal="center"/>
    </xf>
    <xf numFmtId="1" fontId="1" fillId="0" borderId="7" xfId="0" applyNumberFormat="1" applyFont="1" applyBorder="1"/>
    <xf numFmtId="1" fontId="3" fillId="0" borderId="7" xfId="0" applyNumberFormat="1" applyFont="1" applyBorder="1"/>
    <xf numFmtId="0" fontId="1" fillId="0" borderId="25" xfId="0" applyFont="1" applyBorder="1"/>
    <xf numFmtId="0" fontId="1" fillId="0" borderId="26" xfId="0" applyFont="1" applyBorder="1"/>
    <xf numFmtId="3" fontId="1" fillId="0" borderId="26" xfId="0" applyNumberFormat="1" applyFont="1" applyBorder="1" applyProtection="1"/>
    <xf numFmtId="3" fontId="1" fillId="0" borderId="26" xfId="0" applyNumberFormat="1" applyFont="1" applyBorder="1"/>
    <xf numFmtId="0" fontId="1" fillId="0" borderId="27" xfId="0" applyFont="1" applyBorder="1"/>
    <xf numFmtId="0" fontId="1" fillId="0" borderId="28" xfId="0" applyFont="1" applyBorder="1"/>
    <xf numFmtId="0" fontId="3" fillId="0" borderId="27" xfId="0" applyFont="1" applyBorder="1" applyAlignment="1" applyProtection="1">
      <alignment horizontal="left"/>
    </xf>
    <xf numFmtId="0" fontId="3" fillId="0" borderId="28" xfId="0" applyFont="1" applyBorder="1" applyAlignment="1" applyProtection="1">
      <alignment horizontal="left"/>
    </xf>
    <xf numFmtId="3" fontId="3" fillId="0" borderId="28" xfId="0" applyNumberFormat="1" applyFont="1" applyBorder="1"/>
    <xf numFmtId="0" fontId="1" fillId="0" borderId="27" xfId="0" applyFont="1" applyBorder="1" applyAlignment="1" applyProtection="1">
      <alignment horizontal="left"/>
    </xf>
    <xf numFmtId="0" fontId="1" fillId="0" borderId="28" xfId="0" applyFont="1" applyBorder="1" applyAlignment="1" applyProtection="1">
      <alignment horizontal="left"/>
    </xf>
    <xf numFmtId="3" fontId="1" fillId="0" borderId="28" xfId="0" applyNumberFormat="1" applyFont="1" applyBorder="1" applyProtection="1"/>
    <xf numFmtId="3" fontId="1" fillId="0" borderId="28" xfId="0" applyNumberFormat="1" applyFont="1" applyBorder="1"/>
    <xf numFmtId="0" fontId="3" fillId="0" borderId="27" xfId="0" applyFont="1" applyBorder="1"/>
    <xf numFmtId="0" fontId="3" fillId="0" borderId="28" xfId="0" applyFont="1" applyBorder="1"/>
    <xf numFmtId="3" fontId="3" fillId="0" borderId="28" xfId="0" applyNumberFormat="1" applyFont="1" applyBorder="1" applyProtection="1"/>
    <xf numFmtId="0" fontId="5" fillId="0" borderId="27" xfId="0" applyFont="1" applyBorder="1" applyAlignment="1" applyProtection="1">
      <alignment horizontal="left"/>
    </xf>
    <xf numFmtId="0" fontId="5" fillId="0" borderId="28" xfId="0" applyFont="1" applyBorder="1" applyAlignment="1" applyProtection="1">
      <alignment horizontal="left"/>
    </xf>
    <xf numFmtId="3" fontId="5" fillId="0" borderId="28" xfId="0" applyNumberFormat="1" applyFont="1" applyBorder="1" applyProtection="1"/>
    <xf numFmtId="3" fontId="5" fillId="0" borderId="28" xfId="0" applyNumberFormat="1" applyFont="1" applyBorder="1"/>
    <xf numFmtId="165" fontId="1" fillId="0" borderId="28" xfId="0" applyNumberFormat="1" applyFont="1" applyBorder="1" applyProtection="1"/>
    <xf numFmtId="164" fontId="3" fillId="0" borderId="27" xfId="0" applyNumberFormat="1" applyFont="1" applyBorder="1" applyAlignment="1" applyProtection="1">
      <alignment horizontal="left"/>
    </xf>
    <xf numFmtId="164" fontId="3" fillId="0" borderId="28" xfId="0" applyNumberFormat="1" applyFont="1" applyBorder="1" applyAlignment="1" applyProtection="1">
      <alignment horizontal="left"/>
    </xf>
    <xf numFmtId="0" fontId="3" fillId="0" borderId="29" xfId="0" applyFont="1" applyBorder="1"/>
    <xf numFmtId="0" fontId="1" fillId="0" borderId="30" xfId="0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0" fontId="1" fillId="0" borderId="31" xfId="0" applyFont="1" applyBorder="1"/>
    <xf numFmtId="3" fontId="3" fillId="0" borderId="31" xfId="0" applyNumberFormat="1" applyFont="1" applyBorder="1"/>
    <xf numFmtId="3" fontId="3" fillId="0" borderId="31" xfId="0" applyNumberFormat="1" applyFont="1" applyBorder="1" applyProtection="1"/>
    <xf numFmtId="3" fontId="1" fillId="0" borderId="31" xfId="0" applyNumberFormat="1" applyFont="1" applyBorder="1" applyProtection="1"/>
    <xf numFmtId="3" fontId="5" fillId="0" borderId="31" xfId="0" applyNumberFormat="1" applyFont="1" applyBorder="1"/>
    <xf numFmtId="3" fontId="5" fillId="0" borderId="31" xfId="0" applyNumberFormat="1" applyFont="1" applyBorder="1" applyProtection="1"/>
    <xf numFmtId="165" fontId="1" fillId="0" borderId="31" xfId="0" applyNumberFormat="1" applyFont="1" applyBorder="1" applyProtection="1"/>
    <xf numFmtId="3" fontId="1" fillId="0" borderId="32" xfId="0" applyNumberFormat="1" applyFont="1" applyBorder="1"/>
    <xf numFmtId="3" fontId="8" fillId="0" borderId="2" xfId="0" applyNumberFormat="1" applyFont="1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3" fontId="8" fillId="0" borderId="2" xfId="0" applyNumberFormat="1" applyFont="1" applyBorder="1" applyAlignment="1" applyProtection="1">
      <alignment horizontal="center"/>
    </xf>
    <xf numFmtId="3" fontId="1" fillId="0" borderId="23" xfId="0" applyNumberFormat="1" applyFont="1" applyBorder="1"/>
    <xf numFmtId="0" fontId="1" fillId="0" borderId="37" xfId="0" applyFont="1" applyBorder="1"/>
    <xf numFmtId="0" fontId="3" fillId="0" borderId="38" xfId="0" applyFont="1" applyBorder="1" applyAlignment="1" applyProtection="1">
      <alignment horizontal="left"/>
    </xf>
    <xf numFmtId="0" fontId="3" fillId="0" borderId="39" xfId="0" applyFont="1" applyBorder="1"/>
    <xf numFmtId="3" fontId="1" fillId="0" borderId="24" xfId="0" applyNumberFormat="1" applyFont="1" applyBorder="1"/>
    <xf numFmtId="0" fontId="3" fillId="0" borderId="8" xfId="0" applyFont="1" applyBorder="1"/>
    <xf numFmtId="0" fontId="1" fillId="0" borderId="13" xfId="0" applyFont="1" applyBorder="1"/>
    <xf numFmtId="0" fontId="1" fillId="0" borderId="39" xfId="0" applyFont="1" applyBorder="1"/>
    <xf numFmtId="0" fontId="5" fillId="0" borderId="2" xfId="0" applyFont="1" applyBorder="1"/>
    <xf numFmtId="1" fontId="5" fillId="0" borderId="2" xfId="0" applyNumberFormat="1" applyFont="1" applyBorder="1"/>
    <xf numFmtId="0" fontId="5" fillId="0" borderId="6" xfId="0" applyFont="1" applyBorder="1"/>
    <xf numFmtId="1" fontId="5" fillId="0" borderId="7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ul1">
    <tabColor theme="4"/>
    <pageSetUpPr fitToPage="1"/>
  </sheetPr>
  <dimension ref="A1:AN66"/>
  <sheetViews>
    <sheetView tabSelected="1" zoomScale="105" zoomScaleNormal="105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A4" sqref="A4"/>
    </sheetView>
  </sheetViews>
  <sheetFormatPr defaultColWidth="9.6640625" defaultRowHeight="13.8" x14ac:dyDescent="0.3"/>
  <cols>
    <col min="1" max="1" width="25.77734375" style="1" customWidth="1"/>
    <col min="2" max="11" width="6" style="1" hidden="1" customWidth="1"/>
    <col min="12" max="19" width="5.21875" style="1" customWidth="1"/>
    <col min="20" max="20" width="1.5546875" style="1" customWidth="1"/>
    <col min="21" max="21" width="26.77734375" style="1" customWidth="1"/>
    <col min="22" max="22" width="5.88671875" style="1" hidden="1" customWidth="1"/>
    <col min="23" max="32" width="5.6640625" style="1" hidden="1" customWidth="1"/>
    <col min="33" max="33" width="5.6640625" style="1" customWidth="1"/>
    <col min="34" max="40" width="5.21875" style="1" customWidth="1"/>
    <col min="41" max="16384" width="9.6640625" style="1"/>
  </cols>
  <sheetData>
    <row r="1" spans="1:40" x14ac:dyDescent="0.3">
      <c r="A1" s="7">
        <v>42905</v>
      </c>
    </row>
    <row r="2" spans="1:40" ht="18" customHeight="1" x14ac:dyDescent="0.3">
      <c r="A2" s="8" t="s">
        <v>118</v>
      </c>
    </row>
    <row r="3" spans="1:40" ht="12.75" customHeight="1" x14ac:dyDescent="0.3">
      <c r="A3" s="3" t="s">
        <v>21</v>
      </c>
    </row>
    <row r="4" spans="1:40" ht="4.8" customHeight="1" x14ac:dyDescent="0.3"/>
    <row r="5" spans="1:40" ht="15.6" x14ac:dyDescent="0.3">
      <c r="A5" s="34" t="s">
        <v>0</v>
      </c>
      <c r="B5" s="35" t="s">
        <v>18</v>
      </c>
      <c r="C5" s="35">
        <v>2000</v>
      </c>
      <c r="D5" s="35" t="s">
        <v>14</v>
      </c>
      <c r="E5" s="35" t="s">
        <v>19</v>
      </c>
      <c r="F5" s="35" t="s">
        <v>20</v>
      </c>
      <c r="G5" s="35" t="s">
        <v>22</v>
      </c>
      <c r="H5" s="35" t="s">
        <v>24</v>
      </c>
      <c r="I5" s="35" t="s">
        <v>25</v>
      </c>
      <c r="J5" s="35" t="s">
        <v>26</v>
      </c>
      <c r="K5" s="35" t="s">
        <v>30</v>
      </c>
      <c r="L5" s="35" t="s">
        <v>32</v>
      </c>
      <c r="M5" s="35" t="s">
        <v>34</v>
      </c>
      <c r="N5" s="35" t="s">
        <v>35</v>
      </c>
      <c r="O5" s="35" t="s">
        <v>36</v>
      </c>
      <c r="P5" s="35" t="s">
        <v>37</v>
      </c>
      <c r="Q5" s="53" t="s">
        <v>42</v>
      </c>
      <c r="R5" s="35" t="s">
        <v>117</v>
      </c>
      <c r="S5" s="35" t="s">
        <v>116</v>
      </c>
      <c r="U5" s="34" t="s">
        <v>1</v>
      </c>
      <c r="V5" s="34"/>
      <c r="W5" s="35" t="s">
        <v>18</v>
      </c>
      <c r="X5" s="35">
        <v>2000</v>
      </c>
      <c r="Y5" s="35" t="s">
        <v>14</v>
      </c>
      <c r="Z5" s="35" t="s">
        <v>19</v>
      </c>
      <c r="AA5" s="35" t="s">
        <v>20</v>
      </c>
      <c r="AB5" s="35" t="s">
        <v>22</v>
      </c>
      <c r="AC5" s="35" t="s">
        <v>24</v>
      </c>
      <c r="AD5" s="35" t="s">
        <v>25</v>
      </c>
      <c r="AE5" s="35" t="s">
        <v>26</v>
      </c>
      <c r="AF5" s="35" t="s">
        <v>30</v>
      </c>
      <c r="AG5" s="35" t="s">
        <v>32</v>
      </c>
      <c r="AH5" s="35" t="s">
        <v>34</v>
      </c>
      <c r="AI5" s="35" t="s">
        <v>35</v>
      </c>
      <c r="AJ5" s="35" t="s">
        <v>36</v>
      </c>
      <c r="AK5" s="53" t="s">
        <v>37</v>
      </c>
      <c r="AL5" s="53" t="s">
        <v>42</v>
      </c>
      <c r="AM5" s="35" t="s">
        <v>117</v>
      </c>
      <c r="AN5" s="35" t="s">
        <v>116</v>
      </c>
    </row>
    <row r="6" spans="1:40" ht="9.75" customHeight="1" x14ac:dyDescent="0.3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  <c r="R6" s="120"/>
      <c r="S6" s="122"/>
      <c r="U6" s="17"/>
      <c r="V6" s="70"/>
      <c r="W6" s="9"/>
      <c r="X6" s="9"/>
      <c r="Y6" s="9"/>
      <c r="Z6" s="9"/>
      <c r="AA6" s="9"/>
      <c r="AB6" s="43"/>
      <c r="AC6" s="43"/>
      <c r="AD6" s="43"/>
      <c r="AE6" s="43"/>
      <c r="AF6" s="43"/>
      <c r="AG6" s="43"/>
      <c r="AH6" s="43"/>
      <c r="AI6" s="43"/>
      <c r="AJ6" s="43"/>
      <c r="AK6" s="54"/>
      <c r="AL6" s="54"/>
      <c r="AM6" s="45"/>
      <c r="AN6" s="45"/>
    </row>
    <row r="7" spans="1:40" ht="14.25" customHeight="1" x14ac:dyDescent="0.3">
      <c r="A7" s="60" t="s">
        <v>63</v>
      </c>
      <c r="B7" s="61">
        <f t="shared" ref="B7:G7" si="0">B8+B14+B22</f>
        <v>26921.933555677777</v>
      </c>
      <c r="C7" s="61">
        <f t="shared" si="0"/>
        <v>27652.499524869108</v>
      </c>
      <c r="D7" s="61">
        <f t="shared" si="0"/>
        <v>28815.897000000001</v>
      </c>
      <c r="E7" s="61">
        <f t="shared" si="0"/>
        <v>30035.901000000002</v>
      </c>
      <c r="F7" s="61">
        <f t="shared" si="0"/>
        <v>31078.654999999999</v>
      </c>
      <c r="G7" s="61">
        <f t="shared" si="0"/>
        <v>32053.395000000004</v>
      </c>
      <c r="H7" s="61">
        <f t="shared" ref="H7:M7" si="1">H8+H14+H22</f>
        <v>33054.214</v>
      </c>
      <c r="I7" s="61">
        <f t="shared" si="1"/>
        <v>33816.468999999997</v>
      </c>
      <c r="J7" s="61">
        <f t="shared" si="1"/>
        <v>34992.898999999998</v>
      </c>
      <c r="K7" s="61">
        <f t="shared" si="1"/>
        <v>36622.818999999996</v>
      </c>
      <c r="L7" s="61">
        <f t="shared" si="1"/>
        <v>37939.853999999999</v>
      </c>
      <c r="M7" s="61">
        <f t="shared" si="1"/>
        <v>39813.722000000002</v>
      </c>
      <c r="N7" s="61">
        <f t="shared" ref="N7:O7" si="2">N8+N14+N22</f>
        <v>41286.461000000003</v>
      </c>
      <c r="O7" s="61">
        <f t="shared" si="2"/>
        <v>42778.048999999999</v>
      </c>
      <c r="P7" s="61">
        <f t="shared" ref="P7:Q7" si="3">P8+P14+P22</f>
        <v>43737.603999999999</v>
      </c>
      <c r="Q7" s="63">
        <f t="shared" si="3"/>
        <v>46662.667000000001</v>
      </c>
      <c r="R7" s="61">
        <f t="shared" ref="R7:S7" si="4">R8+R14+R22</f>
        <v>47864.394</v>
      </c>
      <c r="S7" s="62">
        <f t="shared" si="4"/>
        <v>48898.18</v>
      </c>
      <c r="T7" s="2"/>
      <c r="U7" s="18" t="s">
        <v>85</v>
      </c>
      <c r="V7" s="71"/>
      <c r="W7" s="10">
        <f t="shared" ref="W7:AB7" si="5">SUM(W8:W13)</f>
        <v>22968.47821882258</v>
      </c>
      <c r="X7" s="10">
        <f t="shared" si="5"/>
        <v>23803.481994641534</v>
      </c>
      <c r="Y7" s="10">
        <f t="shared" si="5"/>
        <v>24494.945</v>
      </c>
      <c r="Z7" s="10">
        <f t="shared" si="5"/>
        <v>25430.865999999998</v>
      </c>
      <c r="AA7" s="10">
        <f t="shared" si="5"/>
        <v>25561.937000000002</v>
      </c>
      <c r="AB7" s="10">
        <f t="shared" si="5"/>
        <v>25339.778000000002</v>
      </c>
      <c r="AC7" s="10">
        <f t="shared" ref="AC7:AH7" si="6">SUM(AC8:AC13)</f>
        <v>25251.313999999998</v>
      </c>
      <c r="AD7" s="10">
        <f t="shared" si="6"/>
        <v>26052.284</v>
      </c>
      <c r="AE7" s="10">
        <f t="shared" si="6"/>
        <v>26758.636999999999</v>
      </c>
      <c r="AF7" s="10">
        <f t="shared" si="6"/>
        <v>27318.649999999998</v>
      </c>
      <c r="AG7" s="10">
        <f t="shared" si="6"/>
        <v>27558.976999999999</v>
      </c>
      <c r="AH7" s="10">
        <f t="shared" si="6"/>
        <v>29361.47</v>
      </c>
      <c r="AI7" s="10">
        <f t="shared" ref="AI7:AJ7" si="7">SUM(AI8:AI13)</f>
        <v>29858.808000000001</v>
      </c>
      <c r="AJ7" s="10">
        <f t="shared" si="7"/>
        <v>29592.134999999998</v>
      </c>
      <c r="AK7" s="10">
        <f t="shared" ref="AK7:AL7" si="8">SUM(AK8:AK13)</f>
        <v>29820.494999999999</v>
      </c>
      <c r="AL7" s="10">
        <f t="shared" si="8"/>
        <v>32063.29</v>
      </c>
      <c r="AM7" s="10">
        <f t="shared" ref="AM7:AN7" si="9">SUM(AM8:AM13)</f>
        <v>32135.320000000003</v>
      </c>
      <c r="AN7" s="19">
        <f t="shared" si="9"/>
        <v>33006.440999999999</v>
      </c>
    </row>
    <row r="8" spans="1:40" ht="14.25" customHeight="1" x14ac:dyDescent="0.3">
      <c r="A8" s="20" t="s">
        <v>58</v>
      </c>
      <c r="B8" s="11">
        <f t="shared" ref="B8:G8" si="10">SUM(B9:B12)</f>
        <v>246.48091992068257</v>
      </c>
      <c r="C8" s="11">
        <f t="shared" si="10"/>
        <v>276.36034599620228</v>
      </c>
      <c r="D8" s="11">
        <f t="shared" si="10"/>
        <v>292.20299999999997</v>
      </c>
      <c r="E8" s="11">
        <f t="shared" si="10"/>
        <v>325.03300000000002</v>
      </c>
      <c r="F8" s="11">
        <f t="shared" si="10"/>
        <v>355.18700000000001</v>
      </c>
      <c r="G8" s="11">
        <f t="shared" si="10"/>
        <v>367.84300000000002</v>
      </c>
      <c r="H8" s="11">
        <f t="shared" ref="H8:M8" si="11">SUM(H9:H12)</f>
        <v>353.94200000000001</v>
      </c>
      <c r="I8" s="11">
        <f t="shared" si="11"/>
        <v>371.70299999999997</v>
      </c>
      <c r="J8" s="11">
        <f t="shared" si="11"/>
        <v>366.68600000000004</v>
      </c>
      <c r="K8" s="11">
        <f t="shared" si="11"/>
        <v>537.85199999999998</v>
      </c>
      <c r="L8" s="11">
        <f t="shared" si="11"/>
        <v>621.89499999999998</v>
      </c>
      <c r="M8" s="11">
        <f t="shared" si="11"/>
        <v>612.47699999999998</v>
      </c>
      <c r="N8" s="11">
        <f t="shared" ref="N8:O8" si="12">SUM(N9:N12)</f>
        <v>626.66200000000003</v>
      </c>
      <c r="O8" s="11">
        <f t="shared" si="12"/>
        <v>615.54399999999998</v>
      </c>
      <c r="P8" s="11">
        <f t="shared" ref="P8:Q8" si="13">SUM(P9:P12)</f>
        <v>621.68999999999994</v>
      </c>
      <c r="Q8" s="48">
        <f t="shared" si="13"/>
        <v>498.26099999999997</v>
      </c>
      <c r="R8" s="11">
        <f t="shared" ref="R8" si="14">SUM(R9:R12)</f>
        <v>601.73</v>
      </c>
      <c r="S8" s="21">
        <v>604.84299999999996</v>
      </c>
      <c r="T8" s="2"/>
      <c r="U8" s="20" t="s">
        <v>86</v>
      </c>
      <c r="V8" s="72"/>
      <c r="W8" s="11">
        <v>17309.110067224712</v>
      </c>
      <c r="X8" s="11">
        <v>17387.26918309442</v>
      </c>
      <c r="Y8" s="14">
        <v>17352.725999999999</v>
      </c>
      <c r="Z8" s="14">
        <v>17398.698</v>
      </c>
      <c r="AA8" s="14">
        <v>17393.467000000001</v>
      </c>
      <c r="AB8" s="14">
        <f>91.719+17282.453</f>
        <v>17374.172000000002</v>
      </c>
      <c r="AC8" s="14">
        <v>17382.867999999999</v>
      </c>
      <c r="AD8" s="14">
        <v>17361.521000000001</v>
      </c>
      <c r="AE8" s="14">
        <v>17430.845000000001</v>
      </c>
      <c r="AF8" s="14">
        <v>17428.736000000001</v>
      </c>
      <c r="AG8" s="14">
        <v>17427.904999999999</v>
      </c>
      <c r="AH8" s="14">
        <v>17435.305</v>
      </c>
      <c r="AI8" s="14">
        <v>17443.219000000001</v>
      </c>
      <c r="AJ8" s="14">
        <v>18045.098999999998</v>
      </c>
      <c r="AK8" s="14">
        <v>18043</v>
      </c>
      <c r="AL8" s="14">
        <v>18057.451000000001</v>
      </c>
      <c r="AM8" s="14">
        <v>18059.713</v>
      </c>
      <c r="AN8" s="25">
        <v>18083.798999999999</v>
      </c>
    </row>
    <row r="9" spans="1:40" ht="14.25" customHeight="1" x14ac:dyDescent="0.3">
      <c r="A9" s="22" t="s">
        <v>46</v>
      </c>
      <c r="B9" s="12">
        <v>35.074078372209968</v>
      </c>
      <c r="C9" s="12">
        <v>52.457814263345284</v>
      </c>
      <c r="D9" s="13">
        <v>50.222999999999999</v>
      </c>
      <c r="E9" s="13">
        <v>51.173000000000002</v>
      </c>
      <c r="F9" s="13">
        <v>70.599999999999994</v>
      </c>
      <c r="G9" s="13">
        <v>69.778999999999996</v>
      </c>
      <c r="H9" s="13">
        <v>73.727999999999994</v>
      </c>
      <c r="I9" s="13">
        <v>68.323999999999998</v>
      </c>
      <c r="J9" s="13">
        <v>83.316999999999993</v>
      </c>
      <c r="K9" s="13">
        <v>101.899</v>
      </c>
      <c r="L9" s="13">
        <v>119.87</v>
      </c>
      <c r="M9" s="13">
        <v>143.595</v>
      </c>
      <c r="N9" s="13">
        <v>113.34699999999999</v>
      </c>
      <c r="O9" s="13">
        <v>31.84</v>
      </c>
      <c r="P9" s="13">
        <v>35.292999999999999</v>
      </c>
      <c r="Q9" s="49">
        <v>19.236999999999998</v>
      </c>
      <c r="R9" s="13">
        <v>81.578000000000003</v>
      </c>
      <c r="S9" s="23">
        <v>72.778999999999996</v>
      </c>
      <c r="T9" s="2"/>
      <c r="U9" s="20"/>
      <c r="V9" s="20" t="s">
        <v>9</v>
      </c>
      <c r="W9" s="11"/>
      <c r="X9" s="11">
        <v>333.86817093948093</v>
      </c>
      <c r="Y9" s="14">
        <v>375.03500000000003</v>
      </c>
      <c r="Z9" s="14">
        <v>402.13099999999997</v>
      </c>
      <c r="AA9" s="14">
        <v>407.822</v>
      </c>
      <c r="AB9" s="14">
        <v>52.271999999999998</v>
      </c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25"/>
    </row>
    <row r="10" spans="1:40" ht="14.25" customHeight="1" x14ac:dyDescent="0.3">
      <c r="A10" s="22" t="s">
        <v>47</v>
      </c>
      <c r="B10" s="12">
        <v>30.246412131058758</v>
      </c>
      <c r="C10" s="12">
        <v>29.086251814327255</v>
      </c>
      <c r="D10" s="13">
        <v>42.372999999999998</v>
      </c>
      <c r="E10" s="13">
        <v>57.15</v>
      </c>
      <c r="F10" s="13">
        <v>55.048000000000002</v>
      </c>
      <c r="G10" s="13">
        <v>51.954999999999998</v>
      </c>
      <c r="H10" s="13">
        <v>53.957000000000001</v>
      </c>
      <c r="I10" s="13">
        <v>61.735999999999997</v>
      </c>
      <c r="J10" s="13">
        <v>61.796999999999997</v>
      </c>
      <c r="K10" s="13">
        <v>50.853999999999999</v>
      </c>
      <c r="L10" s="13">
        <v>56.496000000000002</v>
      </c>
      <c r="M10" s="13">
        <v>59.564</v>
      </c>
      <c r="N10" s="13">
        <v>61.511000000000003</v>
      </c>
      <c r="O10" s="13">
        <v>63.758000000000003</v>
      </c>
      <c r="P10" s="13">
        <v>65.757000000000005</v>
      </c>
      <c r="Q10" s="49">
        <v>64.537000000000006</v>
      </c>
      <c r="R10" s="118" t="s">
        <v>43</v>
      </c>
      <c r="S10" s="69" t="s">
        <v>43</v>
      </c>
      <c r="T10" s="2"/>
      <c r="U10" s="24" t="s">
        <v>87</v>
      </c>
      <c r="V10" s="73"/>
      <c r="W10" s="11">
        <v>2576.6620751362743</v>
      </c>
      <c r="X10" s="11">
        <v>2539.2331976056767</v>
      </c>
      <c r="Y10" s="14">
        <v>2547.5039999999999</v>
      </c>
      <c r="Z10" s="14">
        <v>2545.7280000000001</v>
      </c>
      <c r="AA10" s="14">
        <v>2559.3110000000001</v>
      </c>
      <c r="AB10" s="14">
        <v>2533.7130000000002</v>
      </c>
      <c r="AC10" s="14">
        <v>2528.2809999999999</v>
      </c>
      <c r="AD10" s="14">
        <v>2397.1239999999998</v>
      </c>
      <c r="AE10" s="14">
        <v>2394.5450000000001</v>
      </c>
      <c r="AF10" s="14">
        <v>2373.0680000000002</v>
      </c>
      <c r="AG10" s="14">
        <v>2351.5639999999999</v>
      </c>
      <c r="AH10" s="14">
        <v>2345.183</v>
      </c>
      <c r="AI10" s="14">
        <v>2345.9830000000002</v>
      </c>
      <c r="AJ10" s="14">
        <v>2361.2130000000002</v>
      </c>
      <c r="AK10" s="14">
        <v>2233.4169999999999</v>
      </c>
      <c r="AL10" s="14">
        <v>2131.7570000000001</v>
      </c>
      <c r="AM10" s="14">
        <v>2126.2330000000002</v>
      </c>
      <c r="AN10" s="25">
        <v>2121.5479999999998</v>
      </c>
    </row>
    <row r="11" spans="1:40" ht="14.25" customHeight="1" x14ac:dyDescent="0.3">
      <c r="A11" s="22" t="s">
        <v>48</v>
      </c>
      <c r="B11" s="12">
        <v>180.53191113622717</v>
      </c>
      <c r="C11" s="12">
        <v>192.69744842096767</v>
      </c>
      <c r="D11" s="13">
        <v>197.17</v>
      </c>
      <c r="E11" s="13">
        <v>214.79900000000001</v>
      </c>
      <c r="F11" s="13">
        <v>225.803</v>
      </c>
      <c r="G11" s="13">
        <v>245.167</v>
      </c>
      <c r="H11" s="13">
        <v>225.53700000000001</v>
      </c>
      <c r="I11" s="13">
        <v>229.70599999999999</v>
      </c>
      <c r="J11" s="13">
        <v>220.49100000000001</v>
      </c>
      <c r="K11" s="13">
        <v>383.22300000000001</v>
      </c>
      <c r="L11" s="13">
        <v>444.73399999999998</v>
      </c>
      <c r="M11" s="13">
        <v>408.18200000000002</v>
      </c>
      <c r="N11" s="13">
        <v>449.28300000000002</v>
      </c>
      <c r="O11" s="13">
        <v>515.654</v>
      </c>
      <c r="P11" s="13">
        <v>517.61699999999996</v>
      </c>
      <c r="Q11" s="49">
        <v>409.60899999999998</v>
      </c>
      <c r="R11" s="13">
        <v>510.73599999999999</v>
      </c>
      <c r="S11" s="23">
        <v>529.46199999999999</v>
      </c>
      <c r="T11" s="2"/>
      <c r="U11" s="24" t="s">
        <v>88</v>
      </c>
      <c r="V11" s="73"/>
      <c r="W11" s="11">
        <v>2473.9507175737881</v>
      </c>
      <c r="X11" s="11">
        <v>2405.0175504101262</v>
      </c>
      <c r="Y11" s="14">
        <v>2491.21</v>
      </c>
      <c r="Z11" s="14">
        <v>2535.2280000000001</v>
      </c>
      <c r="AA11" s="14">
        <v>2472.761</v>
      </c>
      <c r="AB11" s="14">
        <v>2396.8200000000002</v>
      </c>
      <c r="AC11" s="14">
        <v>2355.4189999999999</v>
      </c>
      <c r="AD11" s="14">
        <v>2718.7660000000001</v>
      </c>
      <c r="AE11" s="14">
        <v>2875.7310000000002</v>
      </c>
      <c r="AF11" s="14">
        <v>2528.1590000000001</v>
      </c>
      <c r="AG11" s="14">
        <v>2501.7939999999999</v>
      </c>
      <c r="AH11" s="14">
        <v>2516.6999999999998</v>
      </c>
      <c r="AI11" s="14">
        <v>2519.91</v>
      </c>
      <c r="AJ11" s="14">
        <v>2545.6799999999998</v>
      </c>
      <c r="AK11" s="14">
        <v>2511.9679999999998</v>
      </c>
      <c r="AL11" s="14">
        <v>2411.6799999999998</v>
      </c>
      <c r="AM11" s="14">
        <v>2426.239</v>
      </c>
      <c r="AN11" s="25">
        <v>2386.6990000000001</v>
      </c>
    </row>
    <row r="12" spans="1:40" ht="14.25" customHeight="1" x14ac:dyDescent="0.3">
      <c r="A12" s="22" t="s">
        <v>49</v>
      </c>
      <c r="B12" s="12">
        <v>0.62851828118666675</v>
      </c>
      <c r="C12" s="12">
        <v>2.1188314975621161</v>
      </c>
      <c r="D12" s="13">
        <v>2.4369999999999998</v>
      </c>
      <c r="E12" s="13">
        <v>1.911</v>
      </c>
      <c r="F12" s="13">
        <v>3.7360000000000002</v>
      </c>
      <c r="G12" s="13">
        <v>0.94199999999999995</v>
      </c>
      <c r="H12" s="13">
        <v>0.72</v>
      </c>
      <c r="I12" s="13">
        <v>11.936999999999999</v>
      </c>
      <c r="J12" s="13">
        <v>1.081</v>
      </c>
      <c r="K12" s="13">
        <v>1.8759999999999999</v>
      </c>
      <c r="L12" s="13">
        <v>0.79500000000000004</v>
      </c>
      <c r="M12" s="13">
        <v>1.1359999999999999</v>
      </c>
      <c r="N12" s="13">
        <v>2.5209999999999999</v>
      </c>
      <c r="O12" s="13">
        <v>4.2919999999999998</v>
      </c>
      <c r="P12" s="13">
        <v>3.0230000000000001</v>
      </c>
      <c r="Q12" s="49">
        <v>4.8780000000000001</v>
      </c>
      <c r="R12" s="13">
        <v>9.4160000000000004</v>
      </c>
      <c r="S12" s="23">
        <v>2.6019999999999999</v>
      </c>
      <c r="T12" s="2"/>
      <c r="U12" s="20" t="s">
        <v>89</v>
      </c>
      <c r="V12" s="72"/>
      <c r="W12" s="11">
        <v>324.27372248655757</v>
      </c>
      <c r="X12" s="11">
        <v>731.20541968774228</v>
      </c>
      <c r="Y12" s="14">
        <v>1216.377</v>
      </c>
      <c r="Z12" s="14">
        <v>1737.0170000000001</v>
      </c>
      <c r="AA12" s="14">
        <v>2652.0010000000002</v>
      </c>
      <c r="AB12" s="14">
        <v>3084.9520000000002</v>
      </c>
      <c r="AC12" s="14">
        <v>3004.0169999999998</v>
      </c>
      <c r="AD12" s="14">
        <v>3048.7170000000001</v>
      </c>
      <c r="AE12" s="14">
        <v>3499.91</v>
      </c>
      <c r="AF12" s="14">
        <v>4246.1930000000002</v>
      </c>
      <c r="AG12" s="14">
        <v>4977.5129999999999</v>
      </c>
      <c r="AH12" s="14">
        <v>5221.0320000000002</v>
      </c>
      <c r="AI12" s="14">
        <v>7076.6270000000004</v>
      </c>
      <c r="AJ12" s="14">
        <v>6922.96</v>
      </c>
      <c r="AK12" s="14">
        <v>6635.5259999999998</v>
      </c>
      <c r="AL12" s="14">
        <v>6991.55</v>
      </c>
      <c r="AM12" s="14">
        <v>9352.6170000000002</v>
      </c>
      <c r="AN12" s="25">
        <v>9537.9240000000009</v>
      </c>
    </row>
    <row r="13" spans="1:40" ht="14.25" customHeight="1" x14ac:dyDescent="0.3">
      <c r="A13" s="24"/>
      <c r="B13" s="11"/>
      <c r="C13" s="1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50"/>
      <c r="R13" s="14"/>
      <c r="S13" s="25"/>
      <c r="U13" s="20" t="s">
        <v>90</v>
      </c>
      <c r="V13" s="72"/>
      <c r="W13" s="11">
        <v>284.48163640124932</v>
      </c>
      <c r="X13" s="11">
        <v>406.88847290408404</v>
      </c>
      <c r="Y13" s="14">
        <v>512.09299999999996</v>
      </c>
      <c r="Z13" s="14">
        <v>812.06399999999996</v>
      </c>
      <c r="AA13" s="14">
        <v>76.575000000000003</v>
      </c>
      <c r="AB13" s="14">
        <v>-102.151</v>
      </c>
      <c r="AC13" s="14">
        <v>-19.271000000000001</v>
      </c>
      <c r="AD13" s="14">
        <v>526.15599999999995</v>
      </c>
      <c r="AE13" s="14">
        <v>557.60599999999999</v>
      </c>
      <c r="AF13" s="14">
        <v>742.49400000000003</v>
      </c>
      <c r="AG13" s="14">
        <v>300.20100000000002</v>
      </c>
      <c r="AH13" s="14">
        <v>1843.25</v>
      </c>
      <c r="AI13" s="14">
        <v>473.06900000000002</v>
      </c>
      <c r="AJ13" s="14">
        <v>-282.81700000000001</v>
      </c>
      <c r="AK13" s="14">
        <v>396.584</v>
      </c>
      <c r="AL13" s="14">
        <v>2470.8519999999999</v>
      </c>
      <c r="AM13" s="14">
        <v>170.518</v>
      </c>
      <c r="AN13" s="25">
        <v>876.471</v>
      </c>
    </row>
    <row r="14" spans="1:40" ht="14.25" customHeight="1" x14ac:dyDescent="0.3">
      <c r="A14" s="20" t="s">
        <v>57</v>
      </c>
      <c r="B14" s="11">
        <f t="shared" ref="B14:G14" si="15">SUM(B15:B20)</f>
        <v>19970.926530468088</v>
      </c>
      <c r="C14" s="11">
        <f t="shared" si="15"/>
        <v>20726.547623252318</v>
      </c>
      <c r="D14" s="11">
        <f t="shared" si="15"/>
        <v>21609.124</v>
      </c>
      <c r="E14" s="11">
        <f t="shared" si="15"/>
        <v>22416.156000000003</v>
      </c>
      <c r="F14" s="11">
        <f t="shared" si="15"/>
        <v>23242.559999999998</v>
      </c>
      <c r="G14" s="11">
        <f t="shared" si="15"/>
        <v>24068.405000000002</v>
      </c>
      <c r="H14" s="11">
        <f t="shared" ref="H14:M14" si="16">SUM(H15:H20)</f>
        <v>24730.079999999998</v>
      </c>
      <c r="I14" s="11">
        <f t="shared" si="16"/>
        <v>25126.045999999998</v>
      </c>
      <c r="J14" s="11">
        <f t="shared" si="16"/>
        <v>26111.057999999997</v>
      </c>
      <c r="K14" s="11">
        <f t="shared" si="16"/>
        <v>27251.535999999996</v>
      </c>
      <c r="L14" s="11">
        <f t="shared" si="16"/>
        <v>28230.687999999998</v>
      </c>
      <c r="M14" s="11">
        <f t="shared" si="16"/>
        <v>28331.858000000004</v>
      </c>
      <c r="N14" s="11">
        <f t="shared" ref="N14:O14" si="17">SUM(N15:N20)</f>
        <v>29505.940000000002</v>
      </c>
      <c r="O14" s="11">
        <f t="shared" si="17"/>
        <v>30623.337999999996</v>
      </c>
      <c r="P14" s="11">
        <f t="shared" ref="P14:Q14" si="18">SUM(P15:P20)</f>
        <v>31333.549000000003</v>
      </c>
      <c r="Q14" s="48">
        <f t="shared" si="18"/>
        <v>30283.825000000004</v>
      </c>
      <c r="R14" s="11">
        <f t="shared" ref="R14:S14" si="19">SUM(R15:R20)</f>
        <v>30977.887000000002</v>
      </c>
      <c r="S14" s="21">
        <f t="shared" si="19"/>
        <v>31801.528999999999</v>
      </c>
      <c r="T14" s="2"/>
      <c r="U14" s="24"/>
      <c r="V14" s="73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9"/>
    </row>
    <row r="15" spans="1:40" ht="14.25" customHeight="1" x14ac:dyDescent="0.3">
      <c r="A15" s="22" t="s">
        <v>50</v>
      </c>
      <c r="B15" s="12">
        <v>5399.551442800127</v>
      </c>
      <c r="C15" s="12">
        <v>5703.3127975875123</v>
      </c>
      <c r="D15" s="13">
        <v>5897.7759999999998</v>
      </c>
      <c r="E15" s="13">
        <v>5971.8919999999998</v>
      </c>
      <c r="F15" s="13">
        <v>6071.0730000000003</v>
      </c>
      <c r="G15" s="13">
        <v>6187.0370000000003</v>
      </c>
      <c r="H15" s="13">
        <v>6305.4170000000004</v>
      </c>
      <c r="I15" s="13">
        <v>6290.9610000000002</v>
      </c>
      <c r="J15" s="13">
        <v>6475.87</v>
      </c>
      <c r="K15" s="13">
        <v>6614.0280000000002</v>
      </c>
      <c r="L15" s="13">
        <v>6762.9369999999999</v>
      </c>
      <c r="M15" s="13">
        <v>6915.0320000000002</v>
      </c>
      <c r="N15" s="13">
        <v>7091.3729999999996</v>
      </c>
      <c r="O15" s="13">
        <v>7317.634</v>
      </c>
      <c r="P15" s="13">
        <v>7362.0730000000003</v>
      </c>
      <c r="Q15" s="49">
        <v>7556.9620000000004</v>
      </c>
      <c r="R15" s="13">
        <v>7724.2240000000002</v>
      </c>
      <c r="S15" s="23">
        <v>7914.4260000000004</v>
      </c>
      <c r="T15" s="2"/>
      <c r="U15" s="18" t="s">
        <v>91</v>
      </c>
      <c r="V15" s="71"/>
      <c r="W15" s="10">
        <f t="shared" ref="W15:AB15" si="20">W16+W17</f>
        <v>775.60165025993433</v>
      </c>
      <c r="X15" s="10">
        <f t="shared" si="20"/>
        <v>790.74041370866155</v>
      </c>
      <c r="Y15" s="10">
        <f t="shared" si="20"/>
        <v>814.50300000000004</v>
      </c>
      <c r="Z15" s="10">
        <f t="shared" si="20"/>
        <v>914.85100000000011</v>
      </c>
      <c r="AA15" s="10">
        <f t="shared" si="20"/>
        <v>942.06400000000008</v>
      </c>
      <c r="AB15" s="10">
        <f t="shared" si="20"/>
        <v>961.08600000000001</v>
      </c>
      <c r="AC15" s="10">
        <f t="shared" ref="AC15:AH15" si="21">AC16+AC17</f>
        <v>1001.2049999999999</v>
      </c>
      <c r="AD15" s="10">
        <f t="shared" si="21"/>
        <v>1108.873</v>
      </c>
      <c r="AE15" s="10">
        <f t="shared" si="21"/>
        <v>1164.8150000000001</v>
      </c>
      <c r="AF15" s="10">
        <f t="shared" si="21"/>
        <v>1204.4190000000001</v>
      </c>
      <c r="AG15" s="10">
        <f t="shared" si="21"/>
        <v>1227.5740000000001</v>
      </c>
      <c r="AH15" s="10">
        <f t="shared" si="21"/>
        <v>1226.8110000000001</v>
      </c>
      <c r="AI15" s="10">
        <f t="shared" ref="AI15:AJ15" si="22">AI16+AI17</f>
        <v>1201.1030000000001</v>
      </c>
      <c r="AJ15" s="10">
        <f t="shared" si="22"/>
        <v>1183.5630000000001</v>
      </c>
      <c r="AK15" s="10">
        <f t="shared" ref="AK15:AL15" si="23">AK16+AK17</f>
        <v>1165.165</v>
      </c>
      <c r="AL15" s="10">
        <f t="shared" si="23"/>
        <v>860.79300000000001</v>
      </c>
      <c r="AM15" s="10">
        <f t="shared" ref="AM15:AN15" si="24">AM16+AM17</f>
        <v>893.92900000000009</v>
      </c>
      <c r="AN15" s="19">
        <f t="shared" si="24"/>
        <v>918.41100000000006</v>
      </c>
    </row>
    <row r="16" spans="1:40" ht="14.25" customHeight="1" x14ac:dyDescent="0.3">
      <c r="A16" s="22" t="s">
        <v>51</v>
      </c>
      <c r="B16" s="12">
        <v>7619.6176079303968</v>
      </c>
      <c r="C16" s="12">
        <v>7817.6057439540646</v>
      </c>
      <c r="D16" s="13">
        <v>8196.4539999999997</v>
      </c>
      <c r="E16" s="13">
        <v>8576.5470000000005</v>
      </c>
      <c r="F16" s="13">
        <v>9019.9470000000001</v>
      </c>
      <c r="G16" s="13">
        <v>9522.8140000000003</v>
      </c>
      <c r="H16" s="13">
        <v>9986.8860000000004</v>
      </c>
      <c r="I16" s="13">
        <v>10216.554</v>
      </c>
      <c r="J16" s="13">
        <v>10581.84</v>
      </c>
      <c r="K16" s="13">
        <v>10968.182000000001</v>
      </c>
      <c r="L16" s="13">
        <v>11551.487999999999</v>
      </c>
      <c r="M16" s="13">
        <v>11808.065000000001</v>
      </c>
      <c r="N16" s="13">
        <v>12235.828</v>
      </c>
      <c r="O16" s="13">
        <v>12663.614</v>
      </c>
      <c r="P16" s="13">
        <v>12979.659</v>
      </c>
      <c r="Q16" s="49">
        <v>13104.884</v>
      </c>
      <c r="R16" s="13">
        <v>13380.228999999999</v>
      </c>
      <c r="S16" s="23">
        <v>13697.624</v>
      </c>
      <c r="T16" s="2"/>
      <c r="U16" s="24" t="s">
        <v>92</v>
      </c>
      <c r="V16" s="73"/>
      <c r="W16" s="11">
        <v>249.71080086044941</v>
      </c>
      <c r="X16" s="11">
        <v>268.60805990181188</v>
      </c>
      <c r="Y16" s="14">
        <v>314.35500000000002</v>
      </c>
      <c r="Z16" s="14">
        <v>347.55900000000003</v>
      </c>
      <c r="AA16" s="14">
        <v>368.30599999999998</v>
      </c>
      <c r="AB16" s="14">
        <v>457.71300000000002</v>
      </c>
      <c r="AC16" s="14">
        <v>530.92399999999998</v>
      </c>
      <c r="AD16" s="14">
        <v>540.58100000000002</v>
      </c>
      <c r="AE16" s="14">
        <v>559.73</v>
      </c>
      <c r="AF16" s="14">
        <v>865.42100000000005</v>
      </c>
      <c r="AG16" s="14">
        <v>911.82299999999998</v>
      </c>
      <c r="AH16" s="14">
        <v>888.85900000000004</v>
      </c>
      <c r="AI16" s="14">
        <v>902.95600000000002</v>
      </c>
      <c r="AJ16" s="14">
        <v>879.1</v>
      </c>
      <c r="AK16" s="14">
        <v>853.14599999999996</v>
      </c>
      <c r="AL16" s="14">
        <v>669.93200000000002</v>
      </c>
      <c r="AM16" s="14">
        <v>686.85400000000004</v>
      </c>
      <c r="AN16" s="25">
        <v>683.36099999999999</v>
      </c>
    </row>
    <row r="17" spans="1:40" ht="14.25" customHeight="1" x14ac:dyDescent="0.3">
      <c r="A17" s="22" t="s">
        <v>52</v>
      </c>
      <c r="B17" s="12">
        <v>5829.7127518403968</v>
      </c>
      <c r="C17" s="12">
        <v>5954.7996629513955</v>
      </c>
      <c r="D17" s="13">
        <v>6164.5389999999998</v>
      </c>
      <c r="E17" s="13">
        <v>6351.1210000000001</v>
      </c>
      <c r="F17" s="13">
        <v>6500.357</v>
      </c>
      <c r="G17" s="13">
        <v>6723.6229999999996</v>
      </c>
      <c r="H17" s="13">
        <v>6848.8549999999996</v>
      </c>
      <c r="I17" s="13">
        <v>6836.625</v>
      </c>
      <c r="J17" s="13">
        <v>7104.9889999999996</v>
      </c>
      <c r="K17" s="13">
        <v>7947.8890000000001</v>
      </c>
      <c r="L17" s="13">
        <v>8346.491</v>
      </c>
      <c r="M17" s="13">
        <v>7921.8280000000004</v>
      </c>
      <c r="N17" s="13">
        <v>8334.8459999999995</v>
      </c>
      <c r="O17" s="13">
        <v>8746.8179999999993</v>
      </c>
      <c r="P17" s="13">
        <v>8979.1679999999997</v>
      </c>
      <c r="Q17" s="49">
        <v>7856.3019999999997</v>
      </c>
      <c r="R17" s="13">
        <v>7945.1949999999997</v>
      </c>
      <c r="S17" s="23">
        <v>8149.1769999999997</v>
      </c>
      <c r="T17" s="2"/>
      <c r="U17" s="83" t="s">
        <v>93</v>
      </c>
      <c r="V17" s="84"/>
      <c r="W17" s="85">
        <v>525.89084939948498</v>
      </c>
      <c r="X17" s="85">
        <v>522.13235380684966</v>
      </c>
      <c r="Y17" s="86">
        <v>500.14800000000002</v>
      </c>
      <c r="Z17" s="86">
        <v>567.29200000000003</v>
      </c>
      <c r="AA17" s="86">
        <v>573.75800000000004</v>
      </c>
      <c r="AB17" s="86">
        <v>503.37299999999999</v>
      </c>
      <c r="AC17" s="86">
        <v>470.28100000000001</v>
      </c>
      <c r="AD17" s="86">
        <v>568.29200000000003</v>
      </c>
      <c r="AE17" s="86">
        <v>605.08500000000004</v>
      </c>
      <c r="AF17" s="86">
        <v>338.99799999999999</v>
      </c>
      <c r="AG17" s="109">
        <v>315.75099999999998</v>
      </c>
      <c r="AH17" s="14">
        <v>337.952</v>
      </c>
      <c r="AI17" s="14">
        <v>298.14699999999999</v>
      </c>
      <c r="AJ17" s="14">
        <v>304.46300000000002</v>
      </c>
      <c r="AK17" s="14">
        <v>312.01900000000001</v>
      </c>
      <c r="AL17" s="14">
        <v>190.86099999999999</v>
      </c>
      <c r="AM17" s="14">
        <v>207.07499999999999</v>
      </c>
      <c r="AN17" s="25">
        <v>235.05</v>
      </c>
    </row>
    <row r="18" spans="1:40" ht="14.25" customHeight="1" x14ac:dyDescent="0.3">
      <c r="A18" s="22" t="s">
        <v>53</v>
      </c>
      <c r="B18" s="12">
        <v>564.20725461801999</v>
      </c>
      <c r="C18" s="12">
        <v>604.0016953342988</v>
      </c>
      <c r="D18" s="13">
        <v>688.03200000000004</v>
      </c>
      <c r="E18" s="13">
        <v>753.44899999999996</v>
      </c>
      <c r="F18" s="13">
        <v>781.8</v>
      </c>
      <c r="G18" s="13">
        <v>771.66800000000001</v>
      </c>
      <c r="H18" s="13">
        <v>702.17100000000005</v>
      </c>
      <c r="I18" s="13">
        <v>685.88699999999994</v>
      </c>
      <c r="J18" s="13">
        <v>626.67499999999995</v>
      </c>
      <c r="K18" s="13">
        <v>630.21299999999997</v>
      </c>
      <c r="L18" s="13">
        <v>637.39800000000002</v>
      </c>
      <c r="M18" s="13">
        <v>624.24699999999996</v>
      </c>
      <c r="N18" s="13">
        <v>627.07399999999996</v>
      </c>
      <c r="O18" s="13">
        <v>628.16999999999996</v>
      </c>
      <c r="P18" s="13">
        <v>614.66499999999996</v>
      </c>
      <c r="Q18" s="49">
        <v>607.68399999999997</v>
      </c>
      <c r="R18" s="13">
        <v>587.25699999999995</v>
      </c>
      <c r="S18" s="23">
        <v>692.62599999999998</v>
      </c>
      <c r="T18" s="2"/>
      <c r="U18" s="87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110"/>
      <c r="AH18" s="37"/>
      <c r="AI18" s="37"/>
      <c r="AJ18" s="37"/>
      <c r="AK18" s="37"/>
      <c r="AL18" s="37"/>
      <c r="AM18" s="37"/>
      <c r="AN18" s="39"/>
    </row>
    <row r="19" spans="1:40" ht="14.25" customHeight="1" x14ac:dyDescent="0.3">
      <c r="A19" s="22" t="s">
        <v>54</v>
      </c>
      <c r="B19" s="12">
        <v>45.164681208194786</v>
      </c>
      <c r="C19" s="12">
        <v>46.602856167367172</v>
      </c>
      <c r="D19" s="13">
        <v>47.567999999999998</v>
      </c>
      <c r="E19" s="13">
        <v>48.962000000000003</v>
      </c>
      <c r="F19" s="13">
        <v>48.761000000000003</v>
      </c>
      <c r="G19" s="13">
        <v>50.162999999999997</v>
      </c>
      <c r="H19" s="13">
        <v>49.505000000000003</v>
      </c>
      <c r="I19" s="13">
        <v>50.341000000000001</v>
      </c>
      <c r="J19" s="13">
        <v>52.35</v>
      </c>
      <c r="K19" s="13">
        <v>53.639000000000003</v>
      </c>
      <c r="L19" s="13">
        <v>54.524999999999999</v>
      </c>
      <c r="M19" s="13">
        <v>56.198</v>
      </c>
      <c r="N19" s="13">
        <v>59.061999999999998</v>
      </c>
      <c r="O19" s="13">
        <v>60.173999999999999</v>
      </c>
      <c r="P19" s="13">
        <v>62.228000000000002</v>
      </c>
      <c r="Q19" s="49">
        <v>56.878</v>
      </c>
      <c r="R19" s="13">
        <v>59.546999999999997</v>
      </c>
      <c r="S19" s="23">
        <v>60.426000000000002</v>
      </c>
      <c r="T19" s="2"/>
      <c r="U19" s="89" t="s">
        <v>94</v>
      </c>
      <c r="V19" s="90"/>
      <c r="W19" s="91">
        <v>729.28824551400749</v>
      </c>
      <c r="X19" s="91">
        <f t="shared" ref="X19:AC19" si="25">X20+X21</f>
        <v>680.89637437286933</v>
      </c>
      <c r="Y19" s="91">
        <f t="shared" si="25"/>
        <v>665.09400000000005</v>
      </c>
      <c r="Z19" s="91">
        <f t="shared" si="25"/>
        <v>665.96100000000001</v>
      </c>
      <c r="AA19" s="91">
        <f t="shared" si="25"/>
        <v>626.10599999999999</v>
      </c>
      <c r="AB19" s="91">
        <f t="shared" si="25"/>
        <v>582.15499999999997</v>
      </c>
      <c r="AC19" s="91">
        <f t="shared" si="25"/>
        <v>535.33199999999999</v>
      </c>
      <c r="AD19" s="91">
        <f t="shared" ref="AD19:AI19" si="26">AD20+AD21</f>
        <v>519.51499999999999</v>
      </c>
      <c r="AE19" s="91">
        <f t="shared" si="26"/>
        <v>471.64499999999998</v>
      </c>
      <c r="AF19" s="91">
        <f t="shared" si="26"/>
        <v>442.27199999999999</v>
      </c>
      <c r="AG19" s="111">
        <f t="shared" si="26"/>
        <v>418.06599999999997</v>
      </c>
      <c r="AH19" s="16">
        <f t="shared" si="26"/>
        <v>395.202</v>
      </c>
      <c r="AI19" s="16">
        <f t="shared" si="26"/>
        <v>398.452</v>
      </c>
      <c r="AJ19" s="16">
        <f t="shared" ref="AJ19:AK19" si="27">AJ20+AJ21</f>
        <v>349.43400000000003</v>
      </c>
      <c r="AK19" s="16">
        <f t="shared" si="27"/>
        <v>341.40300000000002</v>
      </c>
      <c r="AL19" s="16">
        <f t="shared" ref="AL19:AM19" si="28">AL20+AL21</f>
        <v>303.94299999999998</v>
      </c>
      <c r="AM19" s="16">
        <f t="shared" si="28"/>
        <v>307.37700000000001</v>
      </c>
      <c r="AN19" s="30">
        <f t="shared" ref="AN19" si="29">AN20+AN21</f>
        <v>283.137</v>
      </c>
    </row>
    <row r="20" spans="1:40" ht="14.25" customHeight="1" x14ac:dyDescent="0.3">
      <c r="A20" s="22" t="s">
        <v>55</v>
      </c>
      <c r="B20" s="12">
        <v>512.67279207094839</v>
      </c>
      <c r="C20" s="12">
        <v>600.22486725767908</v>
      </c>
      <c r="D20" s="13">
        <v>614.755</v>
      </c>
      <c r="E20" s="13">
        <v>714.18499999999995</v>
      </c>
      <c r="F20" s="13">
        <v>820.62199999999996</v>
      </c>
      <c r="G20" s="13">
        <v>813.1</v>
      </c>
      <c r="H20" s="13">
        <v>837.24599999999998</v>
      </c>
      <c r="I20" s="13">
        <v>1045.6780000000001</v>
      </c>
      <c r="J20" s="13">
        <v>1269.3340000000001</v>
      </c>
      <c r="K20" s="13">
        <v>1037.585</v>
      </c>
      <c r="L20" s="13">
        <v>877.84900000000005</v>
      </c>
      <c r="M20" s="13">
        <v>1006.4880000000001</v>
      </c>
      <c r="N20" s="13">
        <v>1157.7570000000001</v>
      </c>
      <c r="O20" s="13">
        <v>1206.9280000000001</v>
      </c>
      <c r="P20" s="13">
        <v>1335.7560000000001</v>
      </c>
      <c r="Q20" s="49">
        <v>1101.115</v>
      </c>
      <c r="R20" s="13">
        <v>1281.4349999999999</v>
      </c>
      <c r="S20" s="23">
        <v>1287.25</v>
      </c>
      <c r="U20" s="92" t="s">
        <v>95</v>
      </c>
      <c r="V20" s="93"/>
      <c r="W20" s="94"/>
      <c r="X20" s="94">
        <v>639.5870650029517</v>
      </c>
      <c r="Y20" s="95">
        <v>614.95699999999999</v>
      </c>
      <c r="Z20" s="95">
        <v>593.26800000000003</v>
      </c>
      <c r="AA20" s="95">
        <v>547.74400000000003</v>
      </c>
      <c r="AB20" s="95">
        <v>502.24700000000001</v>
      </c>
      <c r="AC20" s="95">
        <v>449.43200000000002</v>
      </c>
      <c r="AD20" s="95">
        <v>405.51</v>
      </c>
      <c r="AE20" s="95">
        <v>380.27199999999999</v>
      </c>
      <c r="AF20" s="95">
        <v>356.51</v>
      </c>
      <c r="AG20" s="109">
        <v>338.77699999999999</v>
      </c>
      <c r="AH20" s="14">
        <v>317.42099999999999</v>
      </c>
      <c r="AI20" s="14">
        <v>280.19099999999997</v>
      </c>
      <c r="AJ20" s="14">
        <v>256.02600000000001</v>
      </c>
      <c r="AK20" s="14">
        <v>234.25200000000001</v>
      </c>
      <c r="AL20" s="14">
        <v>191.77500000000001</v>
      </c>
      <c r="AM20" s="14">
        <v>173.488</v>
      </c>
      <c r="AN20" s="25">
        <v>154.33000000000001</v>
      </c>
    </row>
    <row r="21" spans="1:40" ht="14.25" customHeight="1" x14ac:dyDescent="0.3">
      <c r="A21" s="26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68"/>
      <c r="R21" s="15"/>
      <c r="S21" s="27"/>
      <c r="U21" s="87" t="s">
        <v>96</v>
      </c>
      <c r="V21" s="88"/>
      <c r="W21" s="94"/>
      <c r="X21" s="94">
        <v>41.309309369917571</v>
      </c>
      <c r="Y21" s="95">
        <v>50.137</v>
      </c>
      <c r="Z21" s="95">
        <v>72.692999999999998</v>
      </c>
      <c r="AA21" s="95">
        <v>78.361999999999995</v>
      </c>
      <c r="AB21" s="95">
        <v>79.908000000000001</v>
      </c>
      <c r="AC21" s="95">
        <v>85.9</v>
      </c>
      <c r="AD21" s="95">
        <v>114.005</v>
      </c>
      <c r="AE21" s="95">
        <v>91.373000000000005</v>
      </c>
      <c r="AF21" s="95">
        <v>85.762</v>
      </c>
      <c r="AG21" s="109">
        <v>79.289000000000001</v>
      </c>
      <c r="AH21" s="14">
        <v>77.781000000000006</v>
      </c>
      <c r="AI21" s="14">
        <v>118.261</v>
      </c>
      <c r="AJ21" s="14">
        <v>93.408000000000001</v>
      </c>
      <c r="AK21" s="14">
        <v>107.151</v>
      </c>
      <c r="AL21" s="14">
        <v>112.16800000000001</v>
      </c>
      <c r="AM21" s="14">
        <v>133.88900000000001</v>
      </c>
      <c r="AN21" s="25">
        <v>128.80699999999999</v>
      </c>
    </row>
    <row r="22" spans="1:40" ht="14.25" customHeight="1" x14ac:dyDescent="0.3">
      <c r="A22" s="20" t="s">
        <v>56</v>
      </c>
      <c r="B22" s="11">
        <f t="shared" ref="B22:G22" si="30">SUM(B23:B26)</f>
        <v>6704.5261052890055</v>
      </c>
      <c r="C22" s="11">
        <f t="shared" si="30"/>
        <v>6649.5915556205873</v>
      </c>
      <c r="D22" s="11">
        <f t="shared" si="30"/>
        <v>6914.5700000000006</v>
      </c>
      <c r="E22" s="11">
        <f t="shared" si="30"/>
        <v>7294.7119999999995</v>
      </c>
      <c r="F22" s="11">
        <f t="shared" si="30"/>
        <v>7480.9080000000004</v>
      </c>
      <c r="G22" s="11">
        <f t="shared" si="30"/>
        <v>7617.1469999999999</v>
      </c>
      <c r="H22" s="11">
        <f t="shared" ref="H22:M22" si="31">SUM(H23:H26)</f>
        <v>7970.192</v>
      </c>
      <c r="I22" s="11">
        <f t="shared" si="31"/>
        <v>8318.7200000000012</v>
      </c>
      <c r="J22" s="11">
        <f t="shared" si="31"/>
        <v>8515.1550000000007</v>
      </c>
      <c r="K22" s="11">
        <f t="shared" si="31"/>
        <v>8833.4310000000005</v>
      </c>
      <c r="L22" s="11">
        <f t="shared" si="31"/>
        <v>9087.2710000000006</v>
      </c>
      <c r="M22" s="11">
        <f t="shared" si="31"/>
        <v>10869.386999999999</v>
      </c>
      <c r="N22" s="11">
        <f t="shared" ref="N22:O22" si="32">SUM(N23:N26)</f>
        <v>11153.859</v>
      </c>
      <c r="O22" s="11">
        <f t="shared" si="32"/>
        <v>11539.167000000001</v>
      </c>
      <c r="P22" s="11">
        <f t="shared" ref="P22:Q22" si="33">SUM(P23:P26)</f>
        <v>11782.365</v>
      </c>
      <c r="Q22" s="11">
        <f t="shared" si="33"/>
        <v>15880.581</v>
      </c>
      <c r="R22" s="11">
        <f t="shared" ref="R22:S22" si="34">SUM(R23:R26)</f>
        <v>16284.777000000002</v>
      </c>
      <c r="S22" s="21">
        <f t="shared" si="34"/>
        <v>16491.808000000001</v>
      </c>
      <c r="U22" s="87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110"/>
      <c r="AH22" s="37"/>
      <c r="AI22" s="37"/>
      <c r="AJ22" s="37"/>
      <c r="AK22" s="37"/>
      <c r="AL22" s="37"/>
      <c r="AM22" s="37"/>
      <c r="AN22" s="39"/>
    </row>
    <row r="23" spans="1:40" ht="14.25" customHeight="1" x14ac:dyDescent="0.3">
      <c r="A23" s="22" t="s">
        <v>59</v>
      </c>
      <c r="B23" s="12">
        <v>4576.4291348581246</v>
      </c>
      <c r="C23" s="12">
        <v>4884.0865629619911</v>
      </c>
      <c r="D23" s="13">
        <v>5092.5810000000001</v>
      </c>
      <c r="E23" s="13">
        <v>5173.375</v>
      </c>
      <c r="F23" s="13">
        <v>5299.6080000000002</v>
      </c>
      <c r="G23" s="13">
        <v>5399.6559999999999</v>
      </c>
      <c r="H23" s="13">
        <v>5479.8509999999997</v>
      </c>
      <c r="I23" s="13">
        <v>5593.5169999999998</v>
      </c>
      <c r="J23" s="13">
        <v>5766.5839999999998</v>
      </c>
      <c r="K23" s="13">
        <v>5839.0290000000005</v>
      </c>
      <c r="L23" s="13">
        <v>5948.1329999999998</v>
      </c>
      <c r="M23" s="13">
        <v>6578.2569999999996</v>
      </c>
      <c r="N23" s="13">
        <v>6760.1540000000005</v>
      </c>
      <c r="O23" s="13">
        <v>7061.88</v>
      </c>
      <c r="P23" s="13">
        <v>7448.5280000000002</v>
      </c>
      <c r="Q23" s="13">
        <v>10473.444</v>
      </c>
      <c r="R23" s="13">
        <v>10679.851000000001</v>
      </c>
      <c r="S23" s="23">
        <v>10778.491</v>
      </c>
      <c r="U23" s="96" t="s">
        <v>97</v>
      </c>
      <c r="V23" s="97"/>
      <c r="W23" s="91">
        <f t="shared" ref="W23:AB23" si="35">W24+W25+W26</f>
        <v>1878.2736518476286</v>
      </c>
      <c r="X23" s="91">
        <f t="shared" si="35"/>
        <v>1944.2811900304923</v>
      </c>
      <c r="Y23" s="91">
        <f t="shared" si="35"/>
        <v>1468.2449999999999</v>
      </c>
      <c r="Z23" s="91">
        <f t="shared" si="35"/>
        <v>1407.223</v>
      </c>
      <c r="AA23" s="91">
        <f t="shared" si="35"/>
        <v>1271.595</v>
      </c>
      <c r="AB23" s="91">
        <f t="shared" si="35"/>
        <v>1262.5810000000001</v>
      </c>
      <c r="AC23" s="91">
        <f t="shared" ref="AC23:AH23" si="36">AC24+AC25+AC26</f>
        <v>1185.722</v>
      </c>
      <c r="AD23" s="91">
        <f t="shared" si="36"/>
        <v>1175.232</v>
      </c>
      <c r="AE23" s="91">
        <f t="shared" si="36"/>
        <v>1140.3240000000001</v>
      </c>
      <c r="AF23" s="91">
        <f t="shared" si="36"/>
        <v>1128.443</v>
      </c>
      <c r="AG23" s="111">
        <f t="shared" si="36"/>
        <v>1166.6030000000001</v>
      </c>
      <c r="AH23" s="16">
        <f t="shared" si="36"/>
        <v>1190.154</v>
      </c>
      <c r="AI23" s="16">
        <f t="shared" ref="AI23:AJ23" si="37">AI24+AI25+AI26</f>
        <v>1063.42</v>
      </c>
      <c r="AJ23" s="16">
        <f t="shared" si="37"/>
        <v>1072.8200000000002</v>
      </c>
      <c r="AK23" s="16">
        <f t="shared" ref="AK23:AL23" si="38">AK24+AK25+AK26</f>
        <v>895.03600000000006</v>
      </c>
      <c r="AL23" s="16">
        <f t="shared" si="38"/>
        <v>899.14699999999993</v>
      </c>
      <c r="AM23" s="16">
        <f t="shared" ref="AM23:AN23" si="39">AM24+AM25+AM26</f>
        <v>896.36</v>
      </c>
      <c r="AN23" s="30">
        <f t="shared" si="39"/>
        <v>991.35500000000002</v>
      </c>
    </row>
    <row r="24" spans="1:40" ht="14.25" customHeight="1" x14ac:dyDescent="0.3">
      <c r="A24" s="22" t="s">
        <v>60</v>
      </c>
      <c r="B24" s="12">
        <v>112.33187514401091</v>
      </c>
      <c r="C24" s="12">
        <v>120.25218097693639</v>
      </c>
      <c r="D24" s="13">
        <v>113.28700000000001</v>
      </c>
      <c r="E24" s="13">
        <v>208.23</v>
      </c>
      <c r="F24" s="13">
        <v>254.23500000000001</v>
      </c>
      <c r="G24" s="13">
        <v>279.779</v>
      </c>
      <c r="H24" s="13">
        <v>480.452</v>
      </c>
      <c r="I24" s="13">
        <v>432.78300000000002</v>
      </c>
      <c r="J24" s="13">
        <v>486.50099999999998</v>
      </c>
      <c r="K24" s="13">
        <v>472.25</v>
      </c>
      <c r="L24" s="13">
        <v>516.21400000000006</v>
      </c>
      <c r="M24" s="13">
        <v>464.77800000000002</v>
      </c>
      <c r="N24" s="13">
        <v>404.87599999999998</v>
      </c>
      <c r="O24" s="13">
        <v>314.17599999999999</v>
      </c>
      <c r="P24" s="13">
        <v>213.46100000000001</v>
      </c>
      <c r="Q24" s="13">
        <v>213.267</v>
      </c>
      <c r="R24" s="13">
        <v>150</v>
      </c>
      <c r="S24" s="23">
        <v>150</v>
      </c>
      <c r="U24" s="87" t="s">
        <v>98</v>
      </c>
      <c r="V24" s="88"/>
      <c r="W24" s="94">
        <v>1284.1188550438719</v>
      </c>
      <c r="X24" s="94">
        <v>1175.9985737663835</v>
      </c>
      <c r="Y24" s="95">
        <v>1051.5609999999999</v>
      </c>
      <c r="Z24" s="95">
        <v>940.25</v>
      </c>
      <c r="AA24" s="95">
        <v>855.68899999999996</v>
      </c>
      <c r="AB24" s="95">
        <v>806.62900000000002</v>
      </c>
      <c r="AC24" s="95">
        <v>774.274</v>
      </c>
      <c r="AD24" s="95">
        <v>732.26300000000003</v>
      </c>
      <c r="AE24" s="95">
        <v>688.45</v>
      </c>
      <c r="AF24" s="95">
        <v>639.98199999999997</v>
      </c>
      <c r="AG24" s="109">
        <v>601.95100000000002</v>
      </c>
      <c r="AH24" s="14">
        <v>552.26300000000003</v>
      </c>
      <c r="AI24" s="14">
        <v>519.29600000000005</v>
      </c>
      <c r="AJ24" s="14">
        <v>473.87</v>
      </c>
      <c r="AK24" s="14">
        <v>314.85599999999999</v>
      </c>
      <c r="AL24" s="14">
        <v>249.94300000000001</v>
      </c>
      <c r="AM24" s="14">
        <v>221.28800000000001</v>
      </c>
      <c r="AN24" s="25">
        <v>203.56399999999999</v>
      </c>
    </row>
    <row r="25" spans="1:40" ht="14.25" customHeight="1" x14ac:dyDescent="0.3">
      <c r="A25" s="22" t="s">
        <v>61</v>
      </c>
      <c r="B25" s="12">
        <v>1671.2139636344064</v>
      </c>
      <c r="C25" s="12">
        <v>1499.7468771706754</v>
      </c>
      <c r="D25" s="13">
        <v>1588.0319999999999</v>
      </c>
      <c r="E25" s="13">
        <v>1762.652</v>
      </c>
      <c r="F25" s="13">
        <v>1805.8489999999999</v>
      </c>
      <c r="G25" s="13">
        <v>1826.038</v>
      </c>
      <c r="H25" s="13">
        <v>1916.0609999999999</v>
      </c>
      <c r="I25" s="13">
        <v>2221.402</v>
      </c>
      <c r="J25" s="13">
        <v>2209.1320000000001</v>
      </c>
      <c r="K25" s="13">
        <v>2472.857</v>
      </c>
      <c r="L25" s="13">
        <v>2576.9059999999999</v>
      </c>
      <c r="M25" s="13">
        <v>3759.7269999999999</v>
      </c>
      <c r="N25" s="13">
        <v>3946.7379999999998</v>
      </c>
      <c r="O25" s="13">
        <v>4122.2240000000002</v>
      </c>
      <c r="P25" s="13">
        <v>4076.1</v>
      </c>
      <c r="Q25" s="13">
        <v>5140.076</v>
      </c>
      <c r="R25" s="13">
        <v>5402.6390000000001</v>
      </c>
      <c r="S25" s="23">
        <v>5504.326</v>
      </c>
      <c r="U25" s="87" t="s">
        <v>99</v>
      </c>
      <c r="V25" s="88"/>
      <c r="W25" s="94"/>
      <c r="X25" s="94">
        <v>119.22051623602147</v>
      </c>
      <c r="Y25" s="95">
        <v>128.119</v>
      </c>
      <c r="Z25" s="95">
        <v>128.32900000000001</v>
      </c>
      <c r="AA25" s="95">
        <v>135.03200000000001</v>
      </c>
      <c r="AB25" s="95">
        <v>143.72399999999999</v>
      </c>
      <c r="AC25" s="95">
        <v>151.43899999999999</v>
      </c>
      <c r="AD25" s="95">
        <v>160.43299999999999</v>
      </c>
      <c r="AE25" s="95">
        <v>141.672</v>
      </c>
      <c r="AF25" s="95">
        <v>133.756</v>
      </c>
      <c r="AG25" s="109">
        <v>142.471</v>
      </c>
      <c r="AH25" s="14">
        <v>149.62</v>
      </c>
      <c r="AI25" s="14">
        <v>148.39400000000001</v>
      </c>
      <c r="AJ25" s="14">
        <v>155.85499999999999</v>
      </c>
      <c r="AK25" s="14">
        <v>165.24299999999999</v>
      </c>
      <c r="AL25" s="14">
        <v>168.85499999999999</v>
      </c>
      <c r="AM25" s="14">
        <v>180.80500000000001</v>
      </c>
      <c r="AN25" s="25">
        <v>196.88900000000001</v>
      </c>
    </row>
    <row r="26" spans="1:40" ht="14.25" customHeight="1" x14ac:dyDescent="0.3">
      <c r="A26" s="22" t="s">
        <v>62</v>
      </c>
      <c r="B26" s="12">
        <v>344.5511316524632</v>
      </c>
      <c r="C26" s="12">
        <v>145.50593451098518</v>
      </c>
      <c r="D26" s="13">
        <v>120.67</v>
      </c>
      <c r="E26" s="13">
        <v>150.45500000000001</v>
      </c>
      <c r="F26" s="13">
        <v>121.21599999999999</v>
      </c>
      <c r="G26" s="13">
        <v>111.67400000000001</v>
      </c>
      <c r="H26" s="13">
        <v>93.828000000000003</v>
      </c>
      <c r="I26" s="13">
        <v>71.018000000000001</v>
      </c>
      <c r="J26" s="13">
        <v>52.938000000000002</v>
      </c>
      <c r="K26" s="13">
        <v>49.295000000000002</v>
      </c>
      <c r="L26" s="13">
        <v>46.018000000000001</v>
      </c>
      <c r="M26" s="13">
        <v>66.625</v>
      </c>
      <c r="N26" s="13">
        <v>42.091000000000001</v>
      </c>
      <c r="O26" s="13">
        <v>40.887</v>
      </c>
      <c r="P26" s="13">
        <v>44.276000000000003</v>
      </c>
      <c r="Q26" s="13">
        <v>53.793999999999997</v>
      </c>
      <c r="R26" s="13">
        <v>52.286999999999999</v>
      </c>
      <c r="S26" s="23">
        <v>58.991</v>
      </c>
      <c r="U26" s="87" t="s">
        <v>100</v>
      </c>
      <c r="V26" s="88"/>
      <c r="W26" s="94">
        <v>594.15479680375665</v>
      </c>
      <c r="X26" s="94">
        <v>649.06210002808734</v>
      </c>
      <c r="Y26" s="95">
        <v>288.565</v>
      </c>
      <c r="Z26" s="95">
        <v>338.64400000000001</v>
      </c>
      <c r="AA26" s="95">
        <v>280.87400000000002</v>
      </c>
      <c r="AB26" s="95">
        <v>312.22800000000001</v>
      </c>
      <c r="AC26" s="95">
        <v>260.00900000000001</v>
      </c>
      <c r="AD26" s="95">
        <v>282.536</v>
      </c>
      <c r="AE26" s="95">
        <v>310.202</v>
      </c>
      <c r="AF26" s="95">
        <v>354.70499999999998</v>
      </c>
      <c r="AG26" s="109">
        <v>422.18099999999998</v>
      </c>
      <c r="AH26" s="14">
        <v>488.27100000000002</v>
      </c>
      <c r="AI26" s="14">
        <v>395.73</v>
      </c>
      <c r="AJ26" s="14">
        <v>443.09500000000003</v>
      </c>
      <c r="AK26" s="14">
        <v>414.93700000000001</v>
      </c>
      <c r="AL26" s="14">
        <v>480.34899999999999</v>
      </c>
      <c r="AM26" s="14">
        <v>494.267</v>
      </c>
      <c r="AN26" s="25">
        <v>590.90200000000004</v>
      </c>
    </row>
    <row r="27" spans="1:40" ht="9" customHeight="1" x14ac:dyDescent="0.3">
      <c r="A27" s="22"/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3"/>
      <c r="U27" s="87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110"/>
      <c r="AH27" s="37"/>
      <c r="AI27" s="37"/>
      <c r="AJ27" s="37"/>
      <c r="AK27" s="37"/>
      <c r="AL27" s="37"/>
      <c r="AM27" s="37"/>
      <c r="AN27" s="39"/>
    </row>
    <row r="28" spans="1:40" ht="14.25" customHeight="1" x14ac:dyDescent="0.3">
      <c r="A28" s="18"/>
      <c r="B28" s="10">
        <v>159.33131844197433</v>
      </c>
      <c r="C28" s="12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3"/>
      <c r="U28" s="89" t="s">
        <v>101</v>
      </c>
      <c r="V28" s="90"/>
      <c r="W28" s="98">
        <f t="shared" ref="W28:AB28" si="40">W29+W39</f>
        <v>6459.7844167158619</v>
      </c>
      <c r="X28" s="98">
        <f t="shared" si="40"/>
        <v>6887.2146902062486</v>
      </c>
      <c r="Y28" s="98">
        <f t="shared" si="40"/>
        <v>7313.6619999999994</v>
      </c>
      <c r="Z28" s="98">
        <f t="shared" si="40"/>
        <v>7778.351999999999</v>
      </c>
      <c r="AA28" s="98">
        <f t="shared" si="40"/>
        <v>8521.7150000000001</v>
      </c>
      <c r="AB28" s="98">
        <f t="shared" si="40"/>
        <v>9626.8119999999999</v>
      </c>
      <c r="AC28" s="98">
        <f t="shared" ref="AC28:AH28" si="41">AC29+AC39</f>
        <v>10657.145999999999</v>
      </c>
      <c r="AD28" s="98">
        <f t="shared" si="41"/>
        <v>11444.519</v>
      </c>
      <c r="AE28" s="98">
        <f t="shared" si="41"/>
        <v>12249.124</v>
      </c>
      <c r="AF28" s="98">
        <f t="shared" si="41"/>
        <v>13109.937</v>
      </c>
      <c r="AG28" s="112">
        <f t="shared" si="41"/>
        <v>14354.491</v>
      </c>
      <c r="AH28" s="10">
        <f t="shared" si="41"/>
        <v>15173.425999999999</v>
      </c>
      <c r="AI28" s="10">
        <f t="shared" ref="AI28:AJ28" si="42">AI29+AI39</f>
        <v>16083.949000000001</v>
      </c>
      <c r="AJ28" s="10">
        <f t="shared" si="42"/>
        <v>17614.841</v>
      </c>
      <c r="AK28" s="10">
        <f t="shared" ref="AK28:AL28" si="43">AK29+AK39</f>
        <v>19293.080000000002</v>
      </c>
      <c r="AL28" s="10">
        <f t="shared" si="43"/>
        <v>20054.446</v>
      </c>
      <c r="AM28" s="10">
        <f t="shared" ref="AM28:AN28" si="44">AM29+AM39</f>
        <v>20852.404999999999</v>
      </c>
      <c r="AN28" s="19">
        <f t="shared" si="44"/>
        <v>21708.970999999998</v>
      </c>
    </row>
    <row r="29" spans="1:40" ht="14.25" customHeight="1" x14ac:dyDescent="0.3">
      <c r="A29" s="29" t="s">
        <v>64</v>
      </c>
      <c r="B29" s="16">
        <f t="shared" ref="B29:G29" si="45">B30+B31+B32</f>
        <v>1875.4938417990725</v>
      </c>
      <c r="C29" s="16">
        <f t="shared" si="45"/>
        <v>1850.649457678031</v>
      </c>
      <c r="D29" s="16">
        <f t="shared" si="45"/>
        <v>1368.3409999999999</v>
      </c>
      <c r="E29" s="16">
        <f t="shared" si="45"/>
        <v>1301.402</v>
      </c>
      <c r="F29" s="16">
        <f t="shared" si="45"/>
        <v>1181.4110000000001</v>
      </c>
      <c r="G29" s="16">
        <f t="shared" si="45"/>
        <v>1180.615</v>
      </c>
      <c r="H29" s="16">
        <f t="shared" ref="H29:M29" si="46">H30+H31+H32</f>
        <v>1103.018</v>
      </c>
      <c r="I29" s="16">
        <f t="shared" si="46"/>
        <v>1100.6909999999998</v>
      </c>
      <c r="J29" s="16">
        <f t="shared" si="46"/>
        <v>1070.163</v>
      </c>
      <c r="K29" s="16">
        <f t="shared" si="46"/>
        <v>1060.0970000000002</v>
      </c>
      <c r="L29" s="16">
        <f t="shared" si="46"/>
        <v>1099.7550000000001</v>
      </c>
      <c r="M29" s="16">
        <f t="shared" si="46"/>
        <v>1127.0360000000001</v>
      </c>
      <c r="N29" s="16">
        <f t="shared" ref="N29:O29" si="47">N30+N31+N32</f>
        <v>981.45900000000006</v>
      </c>
      <c r="O29" s="16">
        <f t="shared" si="47"/>
        <v>1008.2650000000001</v>
      </c>
      <c r="P29" s="16">
        <f t="shared" ref="P29:Q29" si="48">P30+P31+P32</f>
        <v>810.84799999999996</v>
      </c>
      <c r="Q29" s="16">
        <f t="shared" si="48"/>
        <v>795.78</v>
      </c>
      <c r="R29" s="16">
        <f t="shared" ref="R29:S29" si="49">R30+R31+R32</f>
        <v>796.79600000000005</v>
      </c>
      <c r="S29" s="30">
        <f t="shared" si="49"/>
        <v>890.49599999999998</v>
      </c>
      <c r="U29" s="92" t="s">
        <v>102</v>
      </c>
      <c r="V29" s="93"/>
      <c r="W29" s="94">
        <f t="shared" ref="W29:AB29" si="50">SUM(W30:W37)</f>
        <v>2872.312903545906</v>
      </c>
      <c r="X29" s="94">
        <f t="shared" si="50"/>
        <v>3021.8871358100687</v>
      </c>
      <c r="Y29" s="94">
        <f t="shared" si="50"/>
        <v>3033.3449999999993</v>
      </c>
      <c r="Z29" s="94">
        <f t="shared" si="50"/>
        <v>3669.2009999999991</v>
      </c>
      <c r="AA29" s="94">
        <f t="shared" si="50"/>
        <v>4242.5080000000007</v>
      </c>
      <c r="AB29" s="94">
        <f t="shared" si="50"/>
        <v>5127.7210000000005</v>
      </c>
      <c r="AC29" s="94">
        <f t="shared" ref="AC29:AH29" si="51">SUM(AC30:AC37)</f>
        <v>5753.3339999999989</v>
      </c>
      <c r="AD29" s="94">
        <f t="shared" si="51"/>
        <v>6143.4889999999996</v>
      </c>
      <c r="AE29" s="94">
        <f t="shared" si="51"/>
        <v>6619.4369999999999</v>
      </c>
      <c r="AF29" s="94">
        <f t="shared" si="51"/>
        <v>6878.0190000000002</v>
      </c>
      <c r="AG29" s="113">
        <f t="shared" si="51"/>
        <v>7927.7159999999994</v>
      </c>
      <c r="AH29" s="11">
        <f t="shared" si="51"/>
        <v>8328.8670000000002</v>
      </c>
      <c r="AI29" s="11">
        <f t="shared" ref="AI29:AJ29" si="52">SUM(AI30:AI37)</f>
        <v>8786.8090000000011</v>
      </c>
      <c r="AJ29" s="11">
        <f t="shared" si="52"/>
        <v>9488.6890000000003</v>
      </c>
      <c r="AK29" s="11">
        <f t="shared" ref="AK29:AL29" si="53">SUM(AK30:AK37)</f>
        <v>10563.110999999999</v>
      </c>
      <c r="AL29" s="11">
        <f t="shared" si="53"/>
        <v>11221.234</v>
      </c>
      <c r="AM29" s="11">
        <f t="shared" ref="AM29:AN29" si="54">SUM(AM30:AM37)</f>
        <v>11631.603000000001</v>
      </c>
      <c r="AN29" s="21">
        <f t="shared" si="54"/>
        <v>12058.672999999999</v>
      </c>
    </row>
    <row r="30" spans="1:40" ht="14.25" customHeight="1" x14ac:dyDescent="0.3">
      <c r="A30" s="24" t="s">
        <v>65</v>
      </c>
      <c r="B30" s="11">
        <v>1291.587576294248</v>
      </c>
      <c r="C30" s="11">
        <v>1177.5887906110772</v>
      </c>
      <c r="D30" s="14">
        <v>1056.1959999999999</v>
      </c>
      <c r="E30" s="14">
        <v>942.5</v>
      </c>
      <c r="F30" s="14">
        <v>857.86199999999997</v>
      </c>
      <c r="G30" s="14">
        <v>809.33</v>
      </c>
      <c r="H30" s="14">
        <v>775.505</v>
      </c>
      <c r="I30" s="14">
        <v>732.93499999999995</v>
      </c>
      <c r="J30" s="14">
        <v>689.62599999999998</v>
      </c>
      <c r="K30" s="14">
        <v>639.42100000000005</v>
      </c>
      <c r="L30" s="14">
        <v>601.36199999999997</v>
      </c>
      <c r="M30" s="14">
        <v>549.47500000000002</v>
      </c>
      <c r="N30" s="14">
        <v>517.35900000000004</v>
      </c>
      <c r="O30" s="14">
        <v>471.85</v>
      </c>
      <c r="P30" s="14">
        <v>311.827</v>
      </c>
      <c r="Q30" s="14">
        <v>245.75</v>
      </c>
      <c r="R30" s="14">
        <v>218.93100000000001</v>
      </c>
      <c r="S30" s="25">
        <v>201.327</v>
      </c>
      <c r="U30" s="99" t="s">
        <v>103</v>
      </c>
      <c r="V30" s="100"/>
      <c r="W30" s="101">
        <v>416.98294406237756</v>
      </c>
      <c r="X30" s="101">
        <v>356.26003871686066</v>
      </c>
      <c r="Y30" s="102">
        <v>206.864</v>
      </c>
      <c r="Z30" s="102">
        <v>195.07300000000001</v>
      </c>
      <c r="AA30" s="102">
        <v>76.09</v>
      </c>
      <c r="AB30" s="102">
        <v>112.277</v>
      </c>
      <c r="AC30" s="102">
        <v>129.80099999999999</v>
      </c>
      <c r="AD30" s="102">
        <v>55.168999999999997</v>
      </c>
      <c r="AE30" s="102">
        <v>47.533000000000001</v>
      </c>
      <c r="AF30" s="102">
        <v>30.815000000000001</v>
      </c>
      <c r="AG30" s="114">
        <v>463.11</v>
      </c>
      <c r="AH30" s="13">
        <v>383.80399999999997</v>
      </c>
      <c r="AI30" s="13">
        <v>374.5</v>
      </c>
      <c r="AJ30" s="13">
        <v>358.767</v>
      </c>
      <c r="AK30" s="13">
        <v>353.03300000000002</v>
      </c>
      <c r="AL30" s="13">
        <v>557.29999999999995</v>
      </c>
      <c r="AM30" s="13">
        <v>649.68700000000001</v>
      </c>
      <c r="AN30" s="23">
        <v>683.47299999999996</v>
      </c>
    </row>
    <row r="31" spans="1:40" ht="14.25" customHeight="1" x14ac:dyDescent="0.3">
      <c r="A31" s="24" t="s">
        <v>66</v>
      </c>
      <c r="B31" s="11"/>
      <c r="C31" s="11">
        <v>84.044515980375834</v>
      </c>
      <c r="D31" s="14">
        <v>83.876999999999995</v>
      </c>
      <c r="E31" s="14">
        <v>84.909000000000006</v>
      </c>
      <c r="F31" s="14">
        <v>85.290999999999997</v>
      </c>
      <c r="G31" s="14">
        <v>91.293999999999997</v>
      </c>
      <c r="H31" s="14">
        <v>97.369</v>
      </c>
      <c r="I31" s="14">
        <v>100.434</v>
      </c>
      <c r="J31" s="14">
        <v>103.248</v>
      </c>
      <c r="K31" s="14">
        <v>92.427000000000007</v>
      </c>
      <c r="L31" s="14">
        <v>101.245</v>
      </c>
      <c r="M31" s="14">
        <v>106.67</v>
      </c>
      <c r="N31" s="14">
        <v>104.348</v>
      </c>
      <c r="O31" s="14">
        <v>108.12</v>
      </c>
      <c r="P31" s="14">
        <v>112.20099999999999</v>
      </c>
      <c r="Q31" s="14">
        <v>117.99</v>
      </c>
      <c r="R31" s="14">
        <v>128.78899999999999</v>
      </c>
      <c r="S31" s="25">
        <v>136.024</v>
      </c>
      <c r="T31" s="4"/>
      <c r="U31" s="99" t="s">
        <v>104</v>
      </c>
      <c r="V31" s="100"/>
      <c r="W31" s="101">
        <v>1793.7481183975726</v>
      </c>
      <c r="X31" s="101">
        <v>1939.4948980192507</v>
      </c>
      <c r="Y31" s="102">
        <v>2160.0749999999998</v>
      </c>
      <c r="Z31" s="102">
        <v>2842.2689999999998</v>
      </c>
      <c r="AA31" s="102">
        <v>3517.4920000000002</v>
      </c>
      <c r="AB31" s="102">
        <v>4313.8190000000004</v>
      </c>
      <c r="AC31" s="102">
        <v>4910.7969999999996</v>
      </c>
      <c r="AD31" s="102">
        <v>5366.7539999999999</v>
      </c>
      <c r="AE31" s="102">
        <v>5737.6109999999999</v>
      </c>
      <c r="AF31" s="102">
        <v>5839.9189999999999</v>
      </c>
      <c r="AG31" s="114">
        <v>6431.3680000000004</v>
      </c>
      <c r="AH31" s="13">
        <v>7006.357</v>
      </c>
      <c r="AI31" s="13">
        <v>7448.8789999999999</v>
      </c>
      <c r="AJ31" s="13">
        <v>8141.1</v>
      </c>
      <c r="AK31" s="13">
        <v>9264.3040000000001</v>
      </c>
      <c r="AL31" s="13">
        <v>9859.9989999999998</v>
      </c>
      <c r="AM31" s="13">
        <v>10186.503000000001</v>
      </c>
      <c r="AN31" s="23">
        <v>10606.434999999999</v>
      </c>
    </row>
    <row r="32" spans="1:40" ht="14.25" customHeight="1" x14ac:dyDescent="0.3">
      <c r="A32" s="24" t="s">
        <v>67</v>
      </c>
      <c r="B32" s="11">
        <v>583.90626550482443</v>
      </c>
      <c r="C32" s="11">
        <v>589.01615108657802</v>
      </c>
      <c r="D32" s="14">
        <v>228.268</v>
      </c>
      <c r="E32" s="14">
        <v>273.99299999999999</v>
      </c>
      <c r="F32" s="14">
        <v>238.25800000000001</v>
      </c>
      <c r="G32" s="14">
        <v>279.99099999999999</v>
      </c>
      <c r="H32" s="14">
        <v>230.14400000000001</v>
      </c>
      <c r="I32" s="14">
        <v>267.322</v>
      </c>
      <c r="J32" s="14">
        <v>277.28899999999999</v>
      </c>
      <c r="K32" s="14">
        <v>328.24900000000002</v>
      </c>
      <c r="L32" s="14">
        <v>397.14800000000002</v>
      </c>
      <c r="M32" s="14">
        <v>470.89100000000002</v>
      </c>
      <c r="N32" s="14">
        <v>359.75200000000001</v>
      </c>
      <c r="O32" s="14">
        <v>428.29500000000002</v>
      </c>
      <c r="P32" s="14">
        <v>386.82</v>
      </c>
      <c r="Q32" s="14">
        <v>432.04</v>
      </c>
      <c r="R32" s="14">
        <v>449.07600000000002</v>
      </c>
      <c r="S32" s="25">
        <v>553.14499999999998</v>
      </c>
      <c r="U32" s="99" t="s">
        <v>105</v>
      </c>
      <c r="V32" s="100"/>
      <c r="W32" s="101">
        <v>552.89258005324825</v>
      </c>
      <c r="X32" s="101">
        <v>491.49961400870876</v>
      </c>
      <c r="Y32" s="102">
        <v>454.44</v>
      </c>
      <c r="Z32" s="102">
        <v>445.80700000000002</v>
      </c>
      <c r="AA32" s="102">
        <v>415.04599999999999</v>
      </c>
      <c r="AB32" s="102">
        <v>384.245</v>
      </c>
      <c r="AC32" s="102">
        <v>339.24799999999999</v>
      </c>
      <c r="AD32" s="102">
        <v>302.51799999999997</v>
      </c>
      <c r="AE32" s="102">
        <v>385.52100000000002</v>
      </c>
      <c r="AF32" s="102">
        <v>511.41199999999998</v>
      </c>
      <c r="AG32" s="114">
        <v>508.39299999999997</v>
      </c>
      <c r="AH32" s="13">
        <v>439.42700000000002</v>
      </c>
      <c r="AI32" s="13">
        <v>424.23</v>
      </c>
      <c r="AJ32" s="13">
        <v>354.37900000000002</v>
      </c>
      <c r="AK32" s="13">
        <v>293.54300000000001</v>
      </c>
      <c r="AL32" s="13">
        <v>239.07499999999999</v>
      </c>
      <c r="AM32" s="13">
        <v>182.678</v>
      </c>
      <c r="AN32" s="23">
        <v>141.33099999999999</v>
      </c>
    </row>
    <row r="33" spans="1:40" ht="14.25" customHeight="1" x14ac:dyDescent="0.3">
      <c r="A33" s="2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5"/>
      <c r="T33" s="4"/>
      <c r="U33" s="99" t="s">
        <v>106</v>
      </c>
      <c r="V33" s="100"/>
      <c r="W33" s="101">
        <v>91.93639805372932</v>
      </c>
      <c r="X33" s="101">
        <v>109.98430806646114</v>
      </c>
      <c r="Y33" s="101">
        <v>75.936999999999998</v>
      </c>
      <c r="Z33" s="101">
        <v>33.103000000000002</v>
      </c>
      <c r="AA33" s="101">
        <v>25.48</v>
      </c>
      <c r="AB33" s="101">
        <v>29.309000000000001</v>
      </c>
      <c r="AC33" s="101">
        <v>39.137999999999998</v>
      </c>
      <c r="AD33" s="101">
        <v>28.922000000000001</v>
      </c>
      <c r="AE33" s="101">
        <v>21.661000000000001</v>
      </c>
      <c r="AF33" s="101">
        <v>19.634</v>
      </c>
      <c r="AG33" s="115">
        <v>14.186</v>
      </c>
      <c r="AH33" s="12">
        <v>13.090999999999999</v>
      </c>
      <c r="AI33" s="12">
        <v>12.465</v>
      </c>
      <c r="AJ33" s="12">
        <v>23.31</v>
      </c>
      <c r="AK33" s="12">
        <v>32.04</v>
      </c>
      <c r="AL33" s="12">
        <v>29.827000000000002</v>
      </c>
      <c r="AM33" s="12">
        <v>32.439</v>
      </c>
      <c r="AN33" s="28">
        <v>59.640999999999998</v>
      </c>
    </row>
    <row r="34" spans="1:40" ht="14.25" customHeight="1" x14ac:dyDescent="0.3">
      <c r="A34" s="18" t="s">
        <v>68</v>
      </c>
      <c r="B34" s="10">
        <f t="shared" ref="B34:G34" si="55">B35+B42+B55+B61</f>
        <v>3854.6667944894903</v>
      </c>
      <c r="C34" s="10">
        <f t="shared" si="55"/>
        <v>4603.4633257816949</v>
      </c>
      <c r="D34" s="10">
        <f t="shared" si="55"/>
        <v>4572.2080000000005</v>
      </c>
      <c r="E34" s="10">
        <f t="shared" si="55"/>
        <v>4859.9529999999995</v>
      </c>
      <c r="F34" s="10">
        <f t="shared" si="55"/>
        <v>4663.3519999999999</v>
      </c>
      <c r="G34" s="10">
        <f t="shared" si="55"/>
        <v>4538.38</v>
      </c>
      <c r="H34" s="10">
        <f t="shared" ref="H34:M34" si="56">H35+H42+H55+H61</f>
        <v>4473.4849999999997</v>
      </c>
      <c r="I34" s="10">
        <f t="shared" si="56"/>
        <v>5383.2790000000005</v>
      </c>
      <c r="J34" s="10">
        <f t="shared" si="56"/>
        <v>5721.4969999999994</v>
      </c>
      <c r="K34" s="10">
        <f t="shared" si="56"/>
        <v>5520.7759999999998</v>
      </c>
      <c r="L34" s="10">
        <f t="shared" si="56"/>
        <v>5686.1109999999999</v>
      </c>
      <c r="M34" s="10">
        <f t="shared" si="56"/>
        <v>6406.3159999999998</v>
      </c>
      <c r="N34" s="10">
        <f t="shared" ref="N34:O34" si="57">N35+N42+N55+N61</f>
        <v>6337.8320000000003</v>
      </c>
      <c r="O34" s="10">
        <f t="shared" si="57"/>
        <v>6025.985999999999</v>
      </c>
      <c r="P34" s="10">
        <f t="shared" ref="P34:Q34" si="58">P35+P42+P55+P61</f>
        <v>6967.0740000000005</v>
      </c>
      <c r="Q34" s="10">
        <f t="shared" si="58"/>
        <v>6723.1719999999996</v>
      </c>
      <c r="R34" s="10">
        <f t="shared" ref="R34:S34" si="59">R35+R42+R55+R61</f>
        <v>6424.1939999999995</v>
      </c>
      <c r="S34" s="19">
        <f t="shared" si="59"/>
        <v>7119.6270000000004</v>
      </c>
      <c r="U34" s="99" t="s">
        <v>107</v>
      </c>
      <c r="V34" s="100"/>
      <c r="W34" s="101">
        <v>5.2599092121572957</v>
      </c>
      <c r="X34" s="101">
        <v>13.471516533714111</v>
      </c>
      <c r="Y34" s="101">
        <v>16.248999999999999</v>
      </c>
      <c r="Z34" s="101">
        <v>8.14</v>
      </c>
      <c r="AA34" s="101">
        <v>6.2249999999999996</v>
      </c>
      <c r="AB34" s="101">
        <v>6.7539999999999996</v>
      </c>
      <c r="AC34" s="101">
        <v>7.2889999999999997</v>
      </c>
      <c r="AD34" s="101">
        <v>9.2560000000000002</v>
      </c>
      <c r="AE34" s="101">
        <v>9.6129999999999995</v>
      </c>
      <c r="AF34" s="101">
        <v>14.311999999999999</v>
      </c>
      <c r="AG34" s="115">
        <v>15.757</v>
      </c>
      <c r="AH34" s="12">
        <v>23.937000000000001</v>
      </c>
      <c r="AI34" s="12">
        <v>23.163</v>
      </c>
      <c r="AJ34" s="12">
        <v>25.824999999999999</v>
      </c>
      <c r="AK34" s="12">
        <v>22.643000000000001</v>
      </c>
      <c r="AL34" s="12">
        <v>49.048999999999999</v>
      </c>
      <c r="AM34" s="12">
        <v>52.441000000000003</v>
      </c>
      <c r="AN34" s="28">
        <v>31.422999999999998</v>
      </c>
    </row>
    <row r="35" spans="1:40" ht="14.25" customHeight="1" x14ac:dyDescent="0.3">
      <c r="A35" s="20" t="s">
        <v>69</v>
      </c>
      <c r="B35" s="11">
        <f t="shared" ref="B35:G35" si="60">SUM(B36:B40)</f>
        <v>118.37722197274348</v>
      </c>
      <c r="C35" s="11">
        <f t="shared" si="60"/>
        <v>123.04679156302085</v>
      </c>
      <c r="D35" s="11">
        <f t="shared" si="60"/>
        <v>122.63699999999999</v>
      </c>
      <c r="E35" s="11">
        <f t="shared" si="60"/>
        <v>121.83699999999999</v>
      </c>
      <c r="F35" s="11">
        <f t="shared" si="60"/>
        <v>145.44499999999999</v>
      </c>
      <c r="G35" s="11">
        <f t="shared" si="60"/>
        <v>166.476</v>
      </c>
      <c r="H35" s="11">
        <f t="shared" ref="H35:M35" si="61">SUM(H36:H40)</f>
        <v>159.16999999999999</v>
      </c>
      <c r="I35" s="11">
        <f t="shared" si="61"/>
        <v>147.72800000000004</v>
      </c>
      <c r="J35" s="11">
        <f t="shared" si="61"/>
        <v>157.69000000000003</v>
      </c>
      <c r="K35" s="11">
        <f t="shared" si="61"/>
        <v>141.16300000000001</v>
      </c>
      <c r="L35" s="11">
        <f t="shared" si="61"/>
        <v>133.57799999999997</v>
      </c>
      <c r="M35" s="11">
        <f t="shared" si="61"/>
        <v>170.33600000000001</v>
      </c>
      <c r="N35" s="11">
        <f t="shared" ref="N35:O35" si="62">SUM(N36:N40)</f>
        <v>208.78600000000003</v>
      </c>
      <c r="O35" s="11">
        <f t="shared" si="62"/>
        <v>222.07500000000002</v>
      </c>
      <c r="P35" s="11">
        <f t="shared" ref="P35:Q35" si="63">SUM(P36:P40)</f>
        <v>183.99199999999999</v>
      </c>
      <c r="Q35" s="11">
        <f t="shared" si="63"/>
        <v>108.27799999999999</v>
      </c>
      <c r="R35" s="11">
        <f t="shared" ref="R35:S35" si="64">SUM(R36:R40)</f>
        <v>94.740000000000009</v>
      </c>
      <c r="S35" s="21">
        <f t="shared" si="64"/>
        <v>75.86399999999999</v>
      </c>
      <c r="U35" s="99" t="s">
        <v>108</v>
      </c>
      <c r="V35" s="100"/>
      <c r="W35" s="101">
        <v>0.89274151365770049</v>
      </c>
      <c r="X35" s="101">
        <v>1.0562201781782894</v>
      </c>
      <c r="Y35" s="101">
        <v>1.5369999999999999</v>
      </c>
      <c r="Z35" s="101">
        <v>1.3320000000000001</v>
      </c>
      <c r="AA35" s="101">
        <v>3.7839999999999998</v>
      </c>
      <c r="AB35" s="101">
        <v>2.75</v>
      </c>
      <c r="AC35" s="101">
        <v>2.7589999999999999</v>
      </c>
      <c r="AD35" s="101">
        <v>3.9590000000000001</v>
      </c>
      <c r="AE35" s="101">
        <v>1.7350000000000001</v>
      </c>
      <c r="AF35" s="101">
        <v>1.2649999999999999</v>
      </c>
      <c r="AG35" s="115">
        <v>1.577</v>
      </c>
      <c r="AH35" s="12">
        <v>4.4119999999999999</v>
      </c>
      <c r="AI35" s="12">
        <v>3.2519999999999998</v>
      </c>
      <c r="AJ35" s="12">
        <v>30.853000000000002</v>
      </c>
      <c r="AK35" s="12">
        <v>19.231999999999999</v>
      </c>
      <c r="AL35" s="12">
        <v>6.8840000000000003</v>
      </c>
      <c r="AM35" s="12">
        <v>5.2439999999999998</v>
      </c>
      <c r="AN35" s="28">
        <v>6.1219999999999999</v>
      </c>
    </row>
    <row r="36" spans="1:40" ht="14.25" customHeight="1" x14ac:dyDescent="0.3">
      <c r="A36" s="22" t="s">
        <v>70</v>
      </c>
      <c r="B36" s="12">
        <v>106.30368348377743</v>
      </c>
      <c r="C36" s="12">
        <v>108.52578236818691</v>
      </c>
      <c r="D36" s="13">
        <v>112.265</v>
      </c>
      <c r="E36" s="13">
        <v>109.95399999999999</v>
      </c>
      <c r="F36" s="13">
        <v>128.96600000000001</v>
      </c>
      <c r="G36" s="13">
        <v>149.642</v>
      </c>
      <c r="H36" s="13">
        <v>144.80699999999999</v>
      </c>
      <c r="I36" s="13">
        <v>132.405</v>
      </c>
      <c r="J36" s="13">
        <v>138.72</v>
      </c>
      <c r="K36" s="13">
        <v>126.652</v>
      </c>
      <c r="L36" s="13">
        <v>113.07299999999999</v>
      </c>
      <c r="M36" s="13">
        <v>121.339</v>
      </c>
      <c r="N36" s="13">
        <v>139.19900000000001</v>
      </c>
      <c r="O36" s="13">
        <v>138.626</v>
      </c>
      <c r="P36" s="13">
        <v>139.726</v>
      </c>
      <c r="Q36" s="13">
        <v>42.643000000000001</v>
      </c>
      <c r="R36" s="13">
        <v>39.140999999999998</v>
      </c>
      <c r="S36" s="23">
        <v>36.853000000000002</v>
      </c>
      <c r="U36" s="99" t="s">
        <v>109</v>
      </c>
      <c r="V36" s="100"/>
      <c r="W36" s="101">
        <v>10.600212253163194</v>
      </c>
      <c r="X36" s="101">
        <v>108.73584908833735</v>
      </c>
      <c r="Y36" s="101">
        <v>117.99299999999999</v>
      </c>
      <c r="Z36" s="101">
        <v>142.495</v>
      </c>
      <c r="AA36" s="101">
        <v>197.25200000000001</v>
      </c>
      <c r="AB36" s="101">
        <v>276.255</v>
      </c>
      <c r="AC36" s="101">
        <v>319.798</v>
      </c>
      <c r="AD36" s="101">
        <v>373.24</v>
      </c>
      <c r="AE36" s="101">
        <v>410.36599999999999</v>
      </c>
      <c r="AF36" s="101">
        <v>454.274</v>
      </c>
      <c r="AG36" s="115">
        <v>488.27699999999999</v>
      </c>
      <c r="AH36" s="12">
        <v>452.38200000000001</v>
      </c>
      <c r="AI36" s="12">
        <v>486.666</v>
      </c>
      <c r="AJ36" s="12">
        <v>540.327</v>
      </c>
      <c r="AK36" s="12">
        <v>562.49699999999996</v>
      </c>
      <c r="AL36" s="12">
        <v>466.53800000000001</v>
      </c>
      <c r="AM36" s="12">
        <v>468.23700000000002</v>
      </c>
      <c r="AN36" s="28">
        <v>482.54599999999999</v>
      </c>
    </row>
    <row r="37" spans="1:40" ht="14.25" customHeight="1" x14ac:dyDescent="0.3">
      <c r="A37" s="22" t="s">
        <v>71</v>
      </c>
      <c r="B37" s="12">
        <v>1.2992517319151726</v>
      </c>
      <c r="C37" s="12">
        <v>3.3447532935400699</v>
      </c>
      <c r="D37" s="13">
        <v>-0.28699999999999998</v>
      </c>
      <c r="E37" s="13">
        <v>0.82599999999999996</v>
      </c>
      <c r="F37" s="13">
        <v>0.93799999999999994</v>
      </c>
      <c r="G37" s="13">
        <v>4.2839999999999998</v>
      </c>
      <c r="H37" s="13">
        <v>1.72</v>
      </c>
      <c r="I37" s="13">
        <v>3.1320000000000001</v>
      </c>
      <c r="J37" s="13">
        <v>6.657</v>
      </c>
      <c r="K37" s="13">
        <v>4.1520000000000001</v>
      </c>
      <c r="L37" s="13">
        <v>3.988</v>
      </c>
      <c r="M37" s="13">
        <v>5.9960000000000004</v>
      </c>
      <c r="N37" s="13">
        <v>13.94</v>
      </c>
      <c r="O37" s="13">
        <v>25.443000000000001</v>
      </c>
      <c r="P37" s="13">
        <v>29.931000000000001</v>
      </c>
      <c r="Q37" s="13">
        <v>30.628</v>
      </c>
      <c r="R37" s="13">
        <v>11.571</v>
      </c>
      <c r="S37" s="23">
        <v>12.054</v>
      </c>
      <c r="T37" s="4"/>
      <c r="U37" s="99" t="s">
        <v>110</v>
      </c>
      <c r="V37" s="100"/>
      <c r="W37" s="101"/>
      <c r="X37" s="101">
        <v>1.3846911985576205</v>
      </c>
      <c r="Y37" s="102">
        <v>0.25</v>
      </c>
      <c r="Z37" s="102">
        <v>0.98199999999999998</v>
      </c>
      <c r="AA37" s="102">
        <v>1.139</v>
      </c>
      <c r="AB37" s="102">
        <v>2.3119999999999998</v>
      </c>
      <c r="AC37" s="102">
        <v>4.5039999999999996</v>
      </c>
      <c r="AD37" s="102">
        <v>3.6709999999999998</v>
      </c>
      <c r="AE37" s="102">
        <v>5.3970000000000002</v>
      </c>
      <c r="AF37" s="102">
        <v>6.3879999999999999</v>
      </c>
      <c r="AG37" s="114">
        <v>5.048</v>
      </c>
      <c r="AH37" s="13">
        <v>5.4569999999999999</v>
      </c>
      <c r="AI37" s="13">
        <v>13.654</v>
      </c>
      <c r="AJ37" s="13">
        <v>14.128</v>
      </c>
      <c r="AK37" s="13">
        <v>15.819000000000001</v>
      </c>
      <c r="AL37" s="13">
        <v>12.561999999999999</v>
      </c>
      <c r="AM37" s="13">
        <v>54.374000000000002</v>
      </c>
      <c r="AN37" s="23">
        <v>47.701999999999998</v>
      </c>
    </row>
    <row r="38" spans="1:40" ht="14.25" customHeight="1" x14ac:dyDescent="0.3">
      <c r="A38" s="22" t="s">
        <v>72</v>
      </c>
      <c r="B38" s="12">
        <v>3.0687569062167301</v>
      </c>
      <c r="C38" s="12">
        <v>5.8638720560805826</v>
      </c>
      <c r="D38" s="13">
        <v>6.3109999999999999</v>
      </c>
      <c r="E38" s="13">
        <v>6.6440000000000001</v>
      </c>
      <c r="F38" s="13">
        <v>6.6420000000000003</v>
      </c>
      <c r="G38" s="13">
        <v>6.7969999999999997</v>
      </c>
      <c r="H38" s="13">
        <v>5.976</v>
      </c>
      <c r="I38" s="13">
        <v>4.9370000000000003</v>
      </c>
      <c r="J38" s="13">
        <v>4.6630000000000003</v>
      </c>
      <c r="K38" s="13">
        <v>5.3079999999999998</v>
      </c>
      <c r="L38" s="13">
        <v>4.9989999999999997</v>
      </c>
      <c r="M38" s="13">
        <v>4.0670000000000002</v>
      </c>
      <c r="N38" s="13">
        <v>3.6869999999999998</v>
      </c>
      <c r="O38" s="13">
        <v>3.44</v>
      </c>
      <c r="P38" s="13">
        <v>3.1819999999999999</v>
      </c>
      <c r="Q38" s="13">
        <v>2.8170000000000002</v>
      </c>
      <c r="R38" s="13">
        <v>2.6339999999999999</v>
      </c>
      <c r="S38" s="23">
        <v>2.5859999999999999</v>
      </c>
      <c r="U38" s="87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110"/>
      <c r="AH38" s="37"/>
      <c r="AI38" s="37"/>
      <c r="AJ38" s="37"/>
      <c r="AK38" s="37"/>
      <c r="AL38" s="37"/>
      <c r="AM38" s="37"/>
      <c r="AN38" s="39"/>
    </row>
    <row r="39" spans="1:40" ht="14.25" customHeight="1" x14ac:dyDescent="0.3">
      <c r="A39" s="22" t="s">
        <v>73</v>
      </c>
      <c r="B39" s="12">
        <v>6.6084400065256919</v>
      </c>
      <c r="C39" s="12">
        <v>4.2396812502417696</v>
      </c>
      <c r="D39" s="13">
        <v>3.6909999999999998</v>
      </c>
      <c r="E39" s="13">
        <v>3.7149999999999999</v>
      </c>
      <c r="F39" s="13">
        <v>3.8079999999999998</v>
      </c>
      <c r="G39" s="13">
        <v>4.5129999999999999</v>
      </c>
      <c r="H39" s="13">
        <v>6.12</v>
      </c>
      <c r="I39" s="13">
        <v>6.8</v>
      </c>
      <c r="J39" s="13">
        <v>7.3239999999999998</v>
      </c>
      <c r="K39" s="13">
        <v>4.5199999999999996</v>
      </c>
      <c r="L39" s="13">
        <v>11.378</v>
      </c>
      <c r="M39" s="13">
        <v>37.694000000000003</v>
      </c>
      <c r="N39" s="13">
        <v>51.436999999999998</v>
      </c>
      <c r="O39" s="13">
        <v>53.826000000000001</v>
      </c>
      <c r="P39" s="13">
        <v>10.084</v>
      </c>
      <c r="Q39" s="13">
        <v>31.616</v>
      </c>
      <c r="R39" s="13">
        <v>41.215000000000003</v>
      </c>
      <c r="S39" s="23">
        <v>23.738</v>
      </c>
      <c r="U39" s="92" t="s">
        <v>111</v>
      </c>
      <c r="V39" s="93"/>
      <c r="W39" s="94">
        <f t="shared" ref="W39:AB39" si="65">SUM(W40:W47)</f>
        <v>3587.4715131699559</v>
      </c>
      <c r="X39" s="94">
        <f t="shared" si="65"/>
        <v>3865.3275543961799</v>
      </c>
      <c r="Y39" s="94">
        <f t="shared" si="65"/>
        <v>4280.317</v>
      </c>
      <c r="Z39" s="94">
        <f t="shared" si="65"/>
        <v>4109.1509999999998</v>
      </c>
      <c r="AA39" s="94">
        <f t="shared" si="65"/>
        <v>4279.2070000000003</v>
      </c>
      <c r="AB39" s="94">
        <f t="shared" si="65"/>
        <v>4499.0909999999994</v>
      </c>
      <c r="AC39" s="94">
        <f t="shared" ref="AC39:AH39" si="66">SUM(AC40:AC47)</f>
        <v>4903.8119999999999</v>
      </c>
      <c r="AD39" s="94">
        <f t="shared" si="66"/>
        <v>5301.03</v>
      </c>
      <c r="AE39" s="94">
        <f t="shared" si="66"/>
        <v>5629.6869999999999</v>
      </c>
      <c r="AF39" s="94">
        <f t="shared" si="66"/>
        <v>6231.9179999999997</v>
      </c>
      <c r="AG39" s="113">
        <f t="shared" si="66"/>
        <v>6426.7750000000005</v>
      </c>
      <c r="AH39" s="11">
        <f t="shared" si="66"/>
        <v>6844.5589999999993</v>
      </c>
      <c r="AI39" s="11">
        <f t="shared" ref="AI39:AJ39" si="67">SUM(AI40:AI47)</f>
        <v>7297.1399999999994</v>
      </c>
      <c r="AJ39" s="11">
        <f t="shared" si="67"/>
        <v>8126.152</v>
      </c>
      <c r="AK39" s="11">
        <f t="shared" ref="AK39:AL39" si="68">SUM(AK40:AK47)</f>
        <v>8729.969000000001</v>
      </c>
      <c r="AL39" s="11">
        <f t="shared" si="68"/>
        <v>8833.2119999999995</v>
      </c>
      <c r="AM39" s="11">
        <f t="shared" ref="AM39:AN39" si="69">SUM(AM40:AM47)</f>
        <v>9220.8019999999997</v>
      </c>
      <c r="AN39" s="21">
        <f t="shared" si="69"/>
        <v>9650.2979999999989</v>
      </c>
    </row>
    <row r="40" spans="1:40" ht="14.25" customHeight="1" x14ac:dyDescent="0.3">
      <c r="A40" s="22" t="s">
        <v>74</v>
      </c>
      <c r="B40" s="12">
        <v>1.0970898443084365</v>
      </c>
      <c r="C40" s="12">
        <v>1.0727025949715174</v>
      </c>
      <c r="D40" s="13">
        <v>0.65700000000000003</v>
      </c>
      <c r="E40" s="13">
        <v>0.69799999999999995</v>
      </c>
      <c r="F40" s="13">
        <v>5.0910000000000002</v>
      </c>
      <c r="G40" s="13">
        <v>1.24</v>
      </c>
      <c r="H40" s="13">
        <v>0.54700000000000004</v>
      </c>
      <c r="I40" s="13">
        <v>0.45400000000000001</v>
      </c>
      <c r="J40" s="13">
        <v>0.32600000000000001</v>
      </c>
      <c r="K40" s="13">
        <v>0.53100000000000003</v>
      </c>
      <c r="L40" s="13">
        <v>0.14000000000000001</v>
      </c>
      <c r="M40" s="13">
        <v>1.24</v>
      </c>
      <c r="N40" s="13">
        <v>0.52300000000000002</v>
      </c>
      <c r="O40" s="13">
        <v>0.74</v>
      </c>
      <c r="P40" s="13">
        <v>1.069</v>
      </c>
      <c r="Q40" s="13">
        <v>0.57399999999999995</v>
      </c>
      <c r="R40" s="13">
        <v>0.17899999999999999</v>
      </c>
      <c r="S40" s="23">
        <v>0.63300000000000001</v>
      </c>
      <c r="U40" s="99" t="s">
        <v>103</v>
      </c>
      <c r="V40" s="100"/>
      <c r="W40" s="101">
        <v>87.432829946869433</v>
      </c>
      <c r="X40" s="101">
        <v>73.103554988201608</v>
      </c>
      <c r="Y40" s="101">
        <v>174.959</v>
      </c>
      <c r="Z40" s="101">
        <v>37.725999999999999</v>
      </c>
      <c r="AA40" s="101">
        <v>126.30500000000001</v>
      </c>
      <c r="AB40" s="101">
        <v>34.073</v>
      </c>
      <c r="AC40" s="101">
        <v>50.347000000000001</v>
      </c>
      <c r="AD40" s="101">
        <v>142.31399999999999</v>
      </c>
      <c r="AE40" s="101">
        <v>78.195999999999998</v>
      </c>
      <c r="AF40" s="101">
        <v>121.857</v>
      </c>
      <c r="AG40" s="115">
        <v>194.35499999999999</v>
      </c>
      <c r="AH40" s="12">
        <v>293.79399999999998</v>
      </c>
      <c r="AI40" s="12">
        <v>159.70400000000001</v>
      </c>
      <c r="AJ40" s="12">
        <v>316.238</v>
      </c>
      <c r="AK40" s="12">
        <v>256.233</v>
      </c>
      <c r="AL40" s="12">
        <v>199.93299999999999</v>
      </c>
      <c r="AM40" s="12">
        <v>170.083</v>
      </c>
      <c r="AN40" s="28">
        <v>666.77300000000002</v>
      </c>
    </row>
    <row r="41" spans="1:40" ht="14.25" customHeight="1" x14ac:dyDescent="0.3">
      <c r="A41" s="2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25"/>
      <c r="U41" s="99" t="s">
        <v>104</v>
      </c>
      <c r="V41" s="100"/>
      <c r="W41" s="101">
        <v>578.70673575826686</v>
      </c>
      <c r="X41" s="101">
        <v>722.10157541630724</v>
      </c>
      <c r="Y41" s="101">
        <v>793.54100000000005</v>
      </c>
      <c r="Z41" s="101">
        <v>723.38900000000001</v>
      </c>
      <c r="AA41" s="101">
        <v>810.81899999999996</v>
      </c>
      <c r="AB41" s="101">
        <v>1081.1569999999999</v>
      </c>
      <c r="AC41" s="101">
        <v>1328.3920000000001</v>
      </c>
      <c r="AD41" s="101">
        <v>1435.0029999999999</v>
      </c>
      <c r="AE41" s="101">
        <v>1487.117</v>
      </c>
      <c r="AF41" s="101">
        <v>1656.546</v>
      </c>
      <c r="AG41" s="115">
        <v>1768.538</v>
      </c>
      <c r="AH41" s="12">
        <v>1845.683</v>
      </c>
      <c r="AI41" s="12">
        <v>2048.7820000000002</v>
      </c>
      <c r="AJ41" s="12">
        <v>2469.759</v>
      </c>
      <c r="AK41" s="12">
        <v>2868.192</v>
      </c>
      <c r="AL41" s="12">
        <v>3021.7339999999999</v>
      </c>
      <c r="AM41" s="12">
        <v>3326.8560000000002</v>
      </c>
      <c r="AN41" s="28">
        <v>2944.8139999999999</v>
      </c>
    </row>
    <row r="42" spans="1:40" ht="14.25" customHeight="1" x14ac:dyDescent="0.3">
      <c r="A42" s="20" t="s">
        <v>75</v>
      </c>
      <c r="B42" s="11">
        <f t="shared" ref="B42:G42" si="70">B43+B49</f>
        <v>1499.5800347476256</v>
      </c>
      <c r="C42" s="11">
        <f t="shared" si="70"/>
        <v>1814.1541913272213</v>
      </c>
      <c r="D42" s="11">
        <f t="shared" si="70"/>
        <v>1789.7150000000001</v>
      </c>
      <c r="E42" s="11">
        <f t="shared" si="70"/>
        <v>1919.0940000000001</v>
      </c>
      <c r="F42" s="11">
        <f t="shared" si="70"/>
        <v>1752.1859999999999</v>
      </c>
      <c r="G42" s="11">
        <f t="shared" si="70"/>
        <v>1730.7529999999997</v>
      </c>
      <c r="H42" s="11">
        <f t="shared" ref="H42:M42" si="71">H43+H49</f>
        <v>1775.7669999999998</v>
      </c>
      <c r="I42" s="11">
        <f t="shared" si="71"/>
        <v>1710.5439999999999</v>
      </c>
      <c r="J42" s="11">
        <f t="shared" si="71"/>
        <v>1836.721</v>
      </c>
      <c r="K42" s="11">
        <f t="shared" si="71"/>
        <v>1968.4069999999999</v>
      </c>
      <c r="L42" s="11">
        <f t="shared" si="71"/>
        <v>2004.1849999999999</v>
      </c>
      <c r="M42" s="11">
        <f t="shared" si="71"/>
        <v>2226.6530000000002</v>
      </c>
      <c r="N42" s="11">
        <f t="shared" ref="N42:O42" si="72">N43+N49</f>
        <v>2338.6889999999999</v>
      </c>
      <c r="O42" s="11">
        <f t="shared" si="72"/>
        <v>2434.636</v>
      </c>
      <c r="P42" s="11">
        <f t="shared" ref="P42:Q42" si="73">P43+P49</f>
        <v>2435.0909999999999</v>
      </c>
      <c r="Q42" s="11">
        <f t="shared" si="73"/>
        <v>2273.6779999999999</v>
      </c>
      <c r="R42" s="11">
        <f t="shared" ref="R42:S42" si="74">R43+R49</f>
        <v>2180.991</v>
      </c>
      <c r="S42" s="21">
        <f t="shared" si="74"/>
        <v>2411.9380000000001</v>
      </c>
      <c r="U42" s="99" t="s">
        <v>105</v>
      </c>
      <c r="V42" s="100"/>
      <c r="W42" s="101">
        <v>103.79549693645691</v>
      </c>
      <c r="X42" s="101">
        <v>95.13852798563002</v>
      </c>
      <c r="Y42" s="102">
        <v>85.486000000000004</v>
      </c>
      <c r="Z42" s="102">
        <v>92.65</v>
      </c>
      <c r="AA42" s="102">
        <v>73.435000000000002</v>
      </c>
      <c r="AB42" s="102">
        <v>74.283000000000001</v>
      </c>
      <c r="AC42" s="102">
        <v>67.896000000000001</v>
      </c>
      <c r="AD42" s="102">
        <v>73.730999999999995</v>
      </c>
      <c r="AE42" s="102">
        <v>67.438999999999993</v>
      </c>
      <c r="AF42" s="102">
        <v>132.04</v>
      </c>
      <c r="AG42" s="114">
        <v>95.019000000000005</v>
      </c>
      <c r="AH42" s="13">
        <v>82.745999999999995</v>
      </c>
      <c r="AI42" s="13">
        <v>84.061000000000007</v>
      </c>
      <c r="AJ42" s="13">
        <v>78.358000000000004</v>
      </c>
      <c r="AK42" s="13">
        <v>75.075000000000003</v>
      </c>
      <c r="AL42" s="13">
        <v>67.063999999999993</v>
      </c>
      <c r="AM42" s="13">
        <v>62.033000000000001</v>
      </c>
      <c r="AN42" s="23">
        <v>56.939</v>
      </c>
    </row>
    <row r="43" spans="1:40" ht="14.25" customHeight="1" x14ac:dyDescent="0.3">
      <c r="A43" s="20" t="s">
        <v>12</v>
      </c>
      <c r="B43" s="14"/>
      <c r="C43" s="14">
        <f t="shared" ref="C43:H43" si="75">SUM(C44:C47)</f>
        <v>423.45313359335188</v>
      </c>
      <c r="D43" s="14">
        <f t="shared" si="75"/>
        <v>358.17199999999997</v>
      </c>
      <c r="E43" s="14">
        <f t="shared" si="75"/>
        <v>269.959</v>
      </c>
      <c r="F43" s="14">
        <f t="shared" si="75"/>
        <v>306.464</v>
      </c>
      <c r="G43" s="14">
        <f t="shared" si="75"/>
        <v>269.82099999999997</v>
      </c>
      <c r="H43" s="14">
        <f t="shared" si="75"/>
        <v>260.58000000000004</v>
      </c>
      <c r="I43" s="14">
        <f t="shared" ref="I43:N43" si="76">SUM(I44:I47)</f>
        <v>241.97199999999998</v>
      </c>
      <c r="J43" s="14">
        <f t="shared" si="76"/>
        <v>310.339</v>
      </c>
      <c r="K43" s="14">
        <f t="shared" si="76"/>
        <v>326.41900000000004</v>
      </c>
      <c r="L43" s="14">
        <f t="shared" si="76"/>
        <v>361.29599999999999</v>
      </c>
      <c r="M43" s="14">
        <f t="shared" si="76"/>
        <v>417.798</v>
      </c>
      <c r="N43" s="14">
        <f t="shared" si="76"/>
        <v>410.75900000000001</v>
      </c>
      <c r="O43" s="14">
        <f t="shared" ref="O43:P43" si="77">SUM(O44:O47)</f>
        <v>350.95</v>
      </c>
      <c r="P43" s="14">
        <f t="shared" si="77"/>
        <v>398.66900000000004</v>
      </c>
      <c r="Q43" s="14">
        <f t="shared" ref="Q43:R43" si="78">SUM(Q44:Q47)</f>
        <v>392.55200000000002</v>
      </c>
      <c r="R43" s="14">
        <f t="shared" si="78"/>
        <v>390.42400000000004</v>
      </c>
      <c r="S43" s="25">
        <f t="shared" ref="S43" si="79">SUM(S44:S47)</f>
        <v>462.22200000000004</v>
      </c>
      <c r="U43" s="99" t="s">
        <v>106</v>
      </c>
      <c r="V43" s="100"/>
      <c r="W43" s="101">
        <v>49.934995366422619</v>
      </c>
      <c r="X43" s="101">
        <v>76.133965047185129</v>
      </c>
      <c r="Y43" s="102">
        <v>103.72499999999999</v>
      </c>
      <c r="Z43" s="102">
        <v>117.276</v>
      </c>
      <c r="AA43" s="102">
        <v>172.47499999999999</v>
      </c>
      <c r="AB43" s="102">
        <v>130.13399999999999</v>
      </c>
      <c r="AC43" s="102">
        <v>236.91300000000001</v>
      </c>
      <c r="AD43" s="102">
        <v>323.31099999999998</v>
      </c>
      <c r="AE43" s="102">
        <v>380.48099999999999</v>
      </c>
      <c r="AF43" s="102">
        <v>372.79599999999999</v>
      </c>
      <c r="AG43" s="114">
        <v>367.41300000000001</v>
      </c>
      <c r="AH43" s="13">
        <v>454.50599999999997</v>
      </c>
      <c r="AI43" s="13">
        <v>450.10599999999999</v>
      </c>
      <c r="AJ43" s="13">
        <v>528.67499999999995</v>
      </c>
      <c r="AK43" s="13">
        <v>705.07899999999995</v>
      </c>
      <c r="AL43" s="13">
        <v>765.25400000000002</v>
      </c>
      <c r="AM43" s="13">
        <v>948.13800000000003</v>
      </c>
      <c r="AN43" s="23">
        <v>979.36199999999997</v>
      </c>
    </row>
    <row r="44" spans="1:40" ht="14.25" customHeight="1" x14ac:dyDescent="0.3">
      <c r="A44" s="22" t="s">
        <v>76</v>
      </c>
      <c r="B44" s="12"/>
      <c r="C44" s="12">
        <v>86.394101313043151</v>
      </c>
      <c r="D44" s="13">
        <v>77.715000000000003</v>
      </c>
      <c r="E44" s="13">
        <v>75.734999999999999</v>
      </c>
      <c r="F44" s="13">
        <v>91.846999999999994</v>
      </c>
      <c r="G44" s="13">
        <v>68.686999999999998</v>
      </c>
      <c r="H44" s="13">
        <v>63.4</v>
      </c>
      <c r="I44" s="13">
        <v>55.265999999999998</v>
      </c>
      <c r="J44" s="13">
        <v>57.829000000000001</v>
      </c>
      <c r="K44" s="13">
        <v>48.579000000000001</v>
      </c>
      <c r="L44" s="13">
        <v>51.906999999999996</v>
      </c>
      <c r="M44" s="13">
        <v>52.271999999999998</v>
      </c>
      <c r="N44" s="13">
        <v>44.965000000000003</v>
      </c>
      <c r="O44" s="13">
        <v>40.021999999999998</v>
      </c>
      <c r="P44" s="13">
        <v>35.478000000000002</v>
      </c>
      <c r="Q44" s="13">
        <v>33.183999999999997</v>
      </c>
      <c r="R44" s="13">
        <v>32.295000000000002</v>
      </c>
      <c r="S44" s="23">
        <v>22.259</v>
      </c>
      <c r="U44" s="99" t="s">
        <v>107</v>
      </c>
      <c r="V44" s="100"/>
      <c r="W44" s="101">
        <v>68.784657224596472</v>
      </c>
      <c r="X44" s="101">
        <v>35.296927374771478</v>
      </c>
      <c r="Y44" s="102">
        <v>36.942</v>
      </c>
      <c r="Z44" s="102">
        <v>50.232999999999997</v>
      </c>
      <c r="AA44" s="102">
        <v>45.201000000000001</v>
      </c>
      <c r="AB44" s="102">
        <v>36.244</v>
      </c>
      <c r="AC44" s="102">
        <v>39.347999999999999</v>
      </c>
      <c r="AD44" s="102">
        <v>59.814999999999998</v>
      </c>
      <c r="AE44" s="102">
        <v>75.638999999999996</v>
      </c>
      <c r="AF44" s="102">
        <v>119.21</v>
      </c>
      <c r="AG44" s="114">
        <v>147.87700000000001</v>
      </c>
      <c r="AH44" s="13">
        <v>178.01</v>
      </c>
      <c r="AI44" s="13">
        <v>237.67099999999999</v>
      </c>
      <c r="AJ44" s="13">
        <v>248.79300000000001</v>
      </c>
      <c r="AK44" s="13">
        <v>250.256</v>
      </c>
      <c r="AL44" s="13">
        <v>223.86500000000001</v>
      </c>
      <c r="AM44" s="13">
        <v>203.05600000000001</v>
      </c>
      <c r="AN44" s="23">
        <v>213.44300000000001</v>
      </c>
    </row>
    <row r="45" spans="1:40" ht="14.25" customHeight="1" x14ac:dyDescent="0.3">
      <c r="A45" s="22" t="s">
        <v>79</v>
      </c>
      <c r="B45" s="12"/>
      <c r="C45" s="12">
        <v>170.94940402608256</v>
      </c>
      <c r="D45" s="13">
        <v>156.87299999999999</v>
      </c>
      <c r="E45" s="13">
        <v>83.338999999999999</v>
      </c>
      <c r="F45" s="13">
        <v>98.563999999999993</v>
      </c>
      <c r="G45" s="13">
        <v>76.38</v>
      </c>
      <c r="H45" s="13">
        <v>76.132000000000005</v>
      </c>
      <c r="I45" s="13">
        <v>71.435000000000002</v>
      </c>
      <c r="J45" s="13">
        <v>141.06100000000001</v>
      </c>
      <c r="K45" s="13">
        <v>157.84700000000001</v>
      </c>
      <c r="L45" s="13">
        <v>171.11</v>
      </c>
      <c r="M45" s="13">
        <v>178.011</v>
      </c>
      <c r="N45" s="13">
        <v>175.99799999999999</v>
      </c>
      <c r="O45" s="13">
        <v>144.85300000000001</v>
      </c>
      <c r="P45" s="13">
        <v>209.083</v>
      </c>
      <c r="Q45" s="13">
        <v>199.958</v>
      </c>
      <c r="R45" s="13">
        <v>196.24299999999999</v>
      </c>
      <c r="S45" s="23">
        <v>228.34899999999999</v>
      </c>
      <c r="U45" s="99" t="s">
        <v>108</v>
      </c>
      <c r="V45" s="100"/>
      <c r="W45" s="101">
        <v>918.0771747119361</v>
      </c>
      <c r="X45" s="101">
        <v>956.02861213004951</v>
      </c>
      <c r="Y45" s="102">
        <v>1002.875</v>
      </c>
      <c r="Z45" s="102">
        <v>975.15599999999995</v>
      </c>
      <c r="AA45" s="102">
        <v>1021.048</v>
      </c>
      <c r="AB45" s="102">
        <v>1044.0709999999999</v>
      </c>
      <c r="AC45" s="102">
        <v>1162.258</v>
      </c>
      <c r="AD45" s="102">
        <v>1229.809</v>
      </c>
      <c r="AE45" s="102">
        <v>1319.684</v>
      </c>
      <c r="AF45" s="102">
        <v>1429.096</v>
      </c>
      <c r="AG45" s="114">
        <v>1409.25</v>
      </c>
      <c r="AH45" s="13">
        <v>1519.7639999999999</v>
      </c>
      <c r="AI45" s="13">
        <v>1626.8009999999999</v>
      </c>
      <c r="AJ45" s="13">
        <v>1627.768</v>
      </c>
      <c r="AK45" s="13">
        <v>1642.8489999999999</v>
      </c>
      <c r="AL45" s="13">
        <v>1561.7940000000001</v>
      </c>
      <c r="AM45" s="13">
        <v>1561.152</v>
      </c>
      <c r="AN45" s="23">
        <v>1649.364</v>
      </c>
    </row>
    <row r="46" spans="1:40" ht="14.25" customHeight="1" x14ac:dyDescent="0.3">
      <c r="A46" s="22" t="s">
        <v>78</v>
      </c>
      <c r="B46" s="12"/>
      <c r="C46" s="12">
        <v>144.93190911797205</v>
      </c>
      <c r="D46" s="13">
        <v>109.45099999999999</v>
      </c>
      <c r="E46" s="13">
        <v>97.897000000000006</v>
      </c>
      <c r="F46" s="13">
        <v>94.891000000000005</v>
      </c>
      <c r="G46" s="13">
        <v>107.19799999999999</v>
      </c>
      <c r="H46" s="13">
        <v>101.81100000000001</v>
      </c>
      <c r="I46" s="13">
        <v>99.134</v>
      </c>
      <c r="J46" s="13">
        <v>100.846</v>
      </c>
      <c r="K46" s="13">
        <v>108.441</v>
      </c>
      <c r="L46" s="13">
        <v>131.82400000000001</v>
      </c>
      <c r="M46" s="13">
        <v>182.42</v>
      </c>
      <c r="N46" s="13">
        <v>167.57300000000001</v>
      </c>
      <c r="O46" s="13">
        <v>142.10599999999999</v>
      </c>
      <c r="P46" s="13">
        <v>114.048</v>
      </c>
      <c r="Q46" s="13">
        <v>131.102</v>
      </c>
      <c r="R46" s="13">
        <v>97.638000000000005</v>
      </c>
      <c r="S46" s="23">
        <v>168.24100000000001</v>
      </c>
      <c r="U46" s="99" t="s">
        <v>109</v>
      </c>
      <c r="V46" s="100"/>
      <c r="W46" s="101">
        <v>266.38579282947592</v>
      </c>
      <c r="X46" s="101">
        <v>465.58942299768063</v>
      </c>
      <c r="Y46" s="101">
        <v>497.38600000000002</v>
      </c>
      <c r="Z46" s="101">
        <v>488.226</v>
      </c>
      <c r="AA46" s="101">
        <v>505.70499999999998</v>
      </c>
      <c r="AB46" s="101">
        <v>541.697</v>
      </c>
      <c r="AC46" s="101">
        <v>421.55700000000002</v>
      </c>
      <c r="AD46" s="101">
        <v>397.85599999999999</v>
      </c>
      <c r="AE46" s="101">
        <v>441.02199999999999</v>
      </c>
      <c r="AF46" s="101">
        <v>450.012</v>
      </c>
      <c r="AG46" s="115">
        <v>445.50200000000001</v>
      </c>
      <c r="AH46" s="12">
        <v>488.78</v>
      </c>
      <c r="AI46" s="12">
        <v>476.79899999999998</v>
      </c>
      <c r="AJ46" s="12">
        <v>482.36900000000003</v>
      </c>
      <c r="AK46" s="12">
        <v>490.23200000000003</v>
      </c>
      <c r="AL46" s="12">
        <v>533.76499999999999</v>
      </c>
      <c r="AM46" s="12">
        <v>547.11400000000003</v>
      </c>
      <c r="AN46" s="28">
        <v>900.00900000000001</v>
      </c>
    </row>
    <row r="47" spans="1:40" ht="14.25" customHeight="1" x14ac:dyDescent="0.3">
      <c r="A47" s="22" t="s">
        <v>77</v>
      </c>
      <c r="B47" s="12"/>
      <c r="C47" s="12">
        <v>21.177719136254083</v>
      </c>
      <c r="D47" s="13">
        <v>14.132999999999999</v>
      </c>
      <c r="E47" s="13">
        <v>12.988</v>
      </c>
      <c r="F47" s="13">
        <v>21.161999999999999</v>
      </c>
      <c r="G47" s="13">
        <v>17.556000000000001</v>
      </c>
      <c r="H47" s="13">
        <v>19.236999999999998</v>
      </c>
      <c r="I47" s="13">
        <v>16.137</v>
      </c>
      <c r="J47" s="13">
        <v>10.603</v>
      </c>
      <c r="K47" s="13">
        <v>11.552</v>
      </c>
      <c r="L47" s="13">
        <v>6.4550000000000001</v>
      </c>
      <c r="M47" s="13">
        <v>5.0949999999999998</v>
      </c>
      <c r="N47" s="13">
        <v>22.222999999999999</v>
      </c>
      <c r="O47" s="13">
        <v>23.969000000000001</v>
      </c>
      <c r="P47" s="13">
        <v>40.06</v>
      </c>
      <c r="Q47" s="13">
        <v>28.308</v>
      </c>
      <c r="R47" s="13">
        <v>64.248000000000005</v>
      </c>
      <c r="S47" s="23">
        <v>43.372999999999998</v>
      </c>
      <c r="U47" s="99" t="s">
        <v>110</v>
      </c>
      <c r="V47" s="100"/>
      <c r="W47" s="101">
        <v>1514.3538303959313</v>
      </c>
      <c r="X47" s="101">
        <v>1441.9349684563542</v>
      </c>
      <c r="Y47" s="101">
        <v>1585.403</v>
      </c>
      <c r="Z47" s="101">
        <v>1624.4949999999999</v>
      </c>
      <c r="AA47" s="101">
        <v>1524.2190000000001</v>
      </c>
      <c r="AB47" s="101">
        <v>1557.432</v>
      </c>
      <c r="AC47" s="101">
        <v>1597.1010000000001</v>
      </c>
      <c r="AD47" s="101">
        <v>1639.191</v>
      </c>
      <c r="AE47" s="101">
        <v>1780.1089999999999</v>
      </c>
      <c r="AF47" s="101">
        <v>1950.3610000000001</v>
      </c>
      <c r="AG47" s="115">
        <v>1998.8209999999999</v>
      </c>
      <c r="AH47" s="12">
        <v>1981.2760000000001</v>
      </c>
      <c r="AI47" s="12">
        <v>2213.2159999999999</v>
      </c>
      <c r="AJ47" s="12">
        <v>2374.192</v>
      </c>
      <c r="AK47" s="12">
        <v>2442.0529999999999</v>
      </c>
      <c r="AL47" s="12">
        <v>2459.8029999999999</v>
      </c>
      <c r="AM47" s="12">
        <v>2402.37</v>
      </c>
      <c r="AN47" s="28">
        <v>2239.5940000000001</v>
      </c>
    </row>
    <row r="48" spans="1:40" ht="9" customHeight="1" x14ac:dyDescent="0.3">
      <c r="A48" s="2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25"/>
      <c r="T48" s="5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110"/>
      <c r="AH48" s="37"/>
      <c r="AI48" s="37"/>
      <c r="AJ48" s="37"/>
      <c r="AK48" s="37"/>
      <c r="AL48" s="37"/>
      <c r="AM48" s="37"/>
      <c r="AN48" s="39"/>
    </row>
    <row r="49" spans="1:40" ht="14.25" customHeight="1" x14ac:dyDescent="0.3">
      <c r="A49" s="20" t="s">
        <v>13</v>
      </c>
      <c r="B49" s="11">
        <f t="shared" ref="B49:G49" si="80">SUM(B50:B53)</f>
        <v>1499.5800347476256</v>
      </c>
      <c r="C49" s="11">
        <f t="shared" si="80"/>
        <v>1390.7010577338694</v>
      </c>
      <c r="D49" s="11">
        <f t="shared" si="80"/>
        <v>1431.5430000000001</v>
      </c>
      <c r="E49" s="11">
        <f t="shared" si="80"/>
        <v>1649.135</v>
      </c>
      <c r="F49" s="11">
        <f t="shared" si="80"/>
        <v>1445.722</v>
      </c>
      <c r="G49" s="11">
        <f t="shared" si="80"/>
        <v>1460.9319999999998</v>
      </c>
      <c r="H49" s="11">
        <f t="shared" ref="H49:M49" si="81">SUM(H50:H53)</f>
        <v>1515.1869999999999</v>
      </c>
      <c r="I49" s="11">
        <f t="shared" si="81"/>
        <v>1468.5719999999999</v>
      </c>
      <c r="J49" s="11">
        <f t="shared" si="81"/>
        <v>1526.3820000000001</v>
      </c>
      <c r="K49" s="11">
        <f t="shared" si="81"/>
        <v>1641.9879999999998</v>
      </c>
      <c r="L49" s="11">
        <f t="shared" si="81"/>
        <v>1642.8889999999999</v>
      </c>
      <c r="M49" s="11">
        <f t="shared" si="81"/>
        <v>1808.855</v>
      </c>
      <c r="N49" s="11">
        <f t="shared" ref="N49:O49" si="82">SUM(N50:N53)</f>
        <v>1927.9299999999998</v>
      </c>
      <c r="O49" s="11">
        <f t="shared" si="82"/>
        <v>2083.6860000000001</v>
      </c>
      <c r="P49" s="11">
        <f t="shared" ref="P49:Q49" si="83">SUM(P50:P53)</f>
        <v>2036.422</v>
      </c>
      <c r="Q49" s="11">
        <f t="shared" si="83"/>
        <v>1881.126</v>
      </c>
      <c r="R49" s="11">
        <f t="shared" ref="R49:S49" si="84">SUM(R50:R53)</f>
        <v>1790.567</v>
      </c>
      <c r="S49" s="21">
        <f t="shared" si="84"/>
        <v>1949.7159999999999</v>
      </c>
      <c r="U49" s="89" t="s">
        <v>5</v>
      </c>
      <c r="V49" s="90"/>
      <c r="W49" s="98">
        <f t="shared" ref="W49:AB49" si="85">W7+W15+W19+W23+W28</f>
        <v>32811.426183160009</v>
      </c>
      <c r="X49" s="98">
        <f t="shared" si="85"/>
        <v>34106.614662959808</v>
      </c>
      <c r="Y49" s="98">
        <f t="shared" si="85"/>
        <v>34756.449000000001</v>
      </c>
      <c r="Z49" s="98">
        <f t="shared" si="85"/>
        <v>36197.252999999997</v>
      </c>
      <c r="AA49" s="98">
        <f t="shared" si="85"/>
        <v>36923.417000000001</v>
      </c>
      <c r="AB49" s="98">
        <f t="shared" si="85"/>
        <v>37772.411999999997</v>
      </c>
      <c r="AC49" s="98">
        <f t="shared" ref="AC49:AH49" si="86">AC7+AC15+AC19+AC23+AC28</f>
        <v>38630.718999999997</v>
      </c>
      <c r="AD49" s="98">
        <f t="shared" si="86"/>
        <v>40300.422999999995</v>
      </c>
      <c r="AE49" s="98">
        <f t="shared" si="86"/>
        <v>41784.544999999998</v>
      </c>
      <c r="AF49" s="98">
        <f t="shared" si="86"/>
        <v>43203.720999999998</v>
      </c>
      <c r="AG49" s="112">
        <f t="shared" si="86"/>
        <v>44725.710999999996</v>
      </c>
      <c r="AH49" s="10">
        <f t="shared" si="86"/>
        <v>47347.063000000002</v>
      </c>
      <c r="AI49" s="10">
        <f t="shared" ref="AI49:AJ49" si="87">AI7+AI15+AI19+AI23+AI28</f>
        <v>48605.732000000004</v>
      </c>
      <c r="AJ49" s="10">
        <f t="shared" si="87"/>
        <v>49812.792999999998</v>
      </c>
      <c r="AK49" s="10">
        <f t="shared" ref="AK49:AL49" si="88">AK7+AK15+AK19+AK23+AK28</f>
        <v>51515.179000000004</v>
      </c>
      <c r="AL49" s="10">
        <f t="shared" si="88"/>
        <v>54181.618999999992</v>
      </c>
      <c r="AM49" s="10">
        <f t="shared" ref="AM49:AN49" si="89">AM7+AM15+AM19+AM23+AM28</f>
        <v>55085.391000000003</v>
      </c>
      <c r="AN49" s="19">
        <f t="shared" si="89"/>
        <v>56908.315000000002</v>
      </c>
    </row>
    <row r="50" spans="1:40" ht="14.25" customHeight="1" x14ac:dyDescent="0.3">
      <c r="A50" s="22" t="s">
        <v>76</v>
      </c>
      <c r="B50" s="12">
        <v>539.57983292211384</v>
      </c>
      <c r="C50" s="12">
        <v>519.01986803975296</v>
      </c>
      <c r="D50" s="13">
        <v>508.858</v>
      </c>
      <c r="E50" s="13">
        <v>582.06100000000004</v>
      </c>
      <c r="F50" s="13">
        <v>617.53399999999999</v>
      </c>
      <c r="G50" s="13">
        <v>614.48400000000004</v>
      </c>
      <c r="H50" s="13">
        <v>651.78200000000004</v>
      </c>
      <c r="I50" s="13">
        <v>630.55200000000002</v>
      </c>
      <c r="J50" s="13">
        <v>663.53700000000003</v>
      </c>
      <c r="K50" s="13">
        <v>745.327</v>
      </c>
      <c r="L50" s="13">
        <v>702.83399999999995</v>
      </c>
      <c r="M50" s="13">
        <v>770.38900000000001</v>
      </c>
      <c r="N50" s="13">
        <v>880.048</v>
      </c>
      <c r="O50" s="13">
        <v>898.85699999999997</v>
      </c>
      <c r="P50" s="13">
        <v>831.55</v>
      </c>
      <c r="Q50" s="13">
        <v>663.41</v>
      </c>
      <c r="R50" s="13">
        <v>681.70399999999995</v>
      </c>
      <c r="S50" s="23">
        <v>691.06</v>
      </c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110"/>
      <c r="AH50" s="37"/>
      <c r="AI50" s="37"/>
      <c r="AJ50" s="37"/>
      <c r="AK50" s="37"/>
      <c r="AL50" s="37"/>
      <c r="AM50" s="37"/>
      <c r="AN50" s="39"/>
    </row>
    <row r="51" spans="1:40" ht="14.25" customHeight="1" x14ac:dyDescent="0.3">
      <c r="A51" s="22" t="s">
        <v>79</v>
      </c>
      <c r="B51" s="12">
        <v>249.48845642166731</v>
      </c>
      <c r="C51" s="12">
        <v>87.874491441757357</v>
      </c>
      <c r="D51" s="13">
        <v>76.022000000000006</v>
      </c>
      <c r="E51" s="13">
        <v>63.548999999999999</v>
      </c>
      <c r="F51" s="13">
        <v>32.572000000000003</v>
      </c>
      <c r="G51" s="13">
        <v>51.405999999999999</v>
      </c>
      <c r="H51" s="13">
        <v>42.563000000000002</v>
      </c>
      <c r="I51" s="13">
        <v>48.225999999999999</v>
      </c>
      <c r="J51" s="13">
        <v>50.844999999999999</v>
      </c>
      <c r="K51" s="13">
        <v>69.394999999999996</v>
      </c>
      <c r="L51" s="13">
        <v>93.492000000000004</v>
      </c>
      <c r="M51" s="13">
        <v>102.928</v>
      </c>
      <c r="N51" s="13">
        <v>142.934</v>
      </c>
      <c r="O51" s="13">
        <v>244.16499999999999</v>
      </c>
      <c r="P51" s="13">
        <v>240.36699999999999</v>
      </c>
      <c r="Q51" s="13">
        <v>198.876</v>
      </c>
      <c r="R51" s="13">
        <v>211.577</v>
      </c>
      <c r="S51" s="23">
        <v>219.226</v>
      </c>
      <c r="U51" s="87" t="s">
        <v>119</v>
      </c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95">
        <v>4581.0990000000002</v>
      </c>
      <c r="AG51" s="109">
        <v>5182.2470000000003</v>
      </c>
      <c r="AH51" s="14">
        <v>5570.4549999999999</v>
      </c>
      <c r="AI51" s="14">
        <v>5945.4009999999998</v>
      </c>
      <c r="AJ51" s="14">
        <v>6417.8429999999998</v>
      </c>
      <c r="AK51" s="14">
        <v>7228.1719999999996</v>
      </c>
      <c r="AL51" s="14">
        <v>7446.0129999999999</v>
      </c>
      <c r="AM51" s="14">
        <v>7813.6970000000001</v>
      </c>
      <c r="AN51" s="25">
        <v>8026.5720000000001</v>
      </c>
    </row>
    <row r="52" spans="1:40" ht="14.25" customHeight="1" x14ac:dyDescent="0.3">
      <c r="A52" s="22" t="s">
        <v>78</v>
      </c>
      <c r="B52" s="12">
        <v>131.16673646465614</v>
      </c>
      <c r="C52" s="12">
        <v>364.94475867555366</v>
      </c>
      <c r="D52" s="13">
        <v>343.33800000000002</v>
      </c>
      <c r="E52" s="13">
        <v>491.28300000000002</v>
      </c>
      <c r="F52" s="13">
        <v>420.20499999999998</v>
      </c>
      <c r="G52" s="13">
        <v>420.113</v>
      </c>
      <c r="H52" s="13">
        <v>434.84</v>
      </c>
      <c r="I52" s="13">
        <v>403.32900000000001</v>
      </c>
      <c r="J52" s="13">
        <v>425.64499999999998</v>
      </c>
      <c r="K52" s="13">
        <v>429.108</v>
      </c>
      <c r="L52" s="13">
        <v>457.63200000000001</v>
      </c>
      <c r="M52" s="13">
        <v>488.11399999999998</v>
      </c>
      <c r="N52" s="13">
        <v>465.577</v>
      </c>
      <c r="O52" s="13">
        <v>457.13299999999998</v>
      </c>
      <c r="P52" s="13">
        <v>411.86200000000002</v>
      </c>
      <c r="Q52" s="13">
        <v>380.726</v>
      </c>
      <c r="R52" s="13">
        <v>415.702</v>
      </c>
      <c r="S52" s="23">
        <v>441.96899999999999</v>
      </c>
      <c r="U52" s="87" t="s">
        <v>28</v>
      </c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95">
        <v>909.34299999999996</v>
      </c>
      <c r="AG52" s="109">
        <v>913.86099999999999</v>
      </c>
      <c r="AH52" s="14">
        <v>988.14099999999996</v>
      </c>
      <c r="AI52" s="14">
        <v>950.14599999999996</v>
      </c>
      <c r="AJ52" s="14">
        <v>947.53399999999999</v>
      </c>
      <c r="AK52" s="14">
        <v>947.76900000000001</v>
      </c>
      <c r="AL52" s="14">
        <v>1122.914</v>
      </c>
      <c r="AM52" s="14">
        <v>1172.7719999999999</v>
      </c>
      <c r="AN52" s="25">
        <v>1269.6300000000001</v>
      </c>
    </row>
    <row r="53" spans="1:40" ht="14.25" customHeight="1" x14ac:dyDescent="0.3">
      <c r="A53" s="22" t="s">
        <v>77</v>
      </c>
      <c r="B53" s="12">
        <v>579.34500893918823</v>
      </c>
      <c r="C53" s="12">
        <v>418.86193957680553</v>
      </c>
      <c r="D53" s="13">
        <v>503.32499999999999</v>
      </c>
      <c r="E53" s="13">
        <v>512.24199999999996</v>
      </c>
      <c r="F53" s="13">
        <v>375.411</v>
      </c>
      <c r="G53" s="13">
        <v>374.92899999999997</v>
      </c>
      <c r="H53" s="13">
        <v>386.00200000000001</v>
      </c>
      <c r="I53" s="13">
        <v>386.46499999999997</v>
      </c>
      <c r="J53" s="13">
        <v>386.35500000000002</v>
      </c>
      <c r="K53" s="13">
        <v>398.15800000000002</v>
      </c>
      <c r="L53" s="13">
        <v>388.93099999999998</v>
      </c>
      <c r="M53" s="13">
        <v>447.42399999999998</v>
      </c>
      <c r="N53" s="13">
        <v>439.37099999999998</v>
      </c>
      <c r="O53" s="13">
        <v>483.53100000000001</v>
      </c>
      <c r="P53" s="13">
        <v>552.64300000000003</v>
      </c>
      <c r="Q53" s="13">
        <v>638.11400000000003</v>
      </c>
      <c r="R53" s="13">
        <v>481.584</v>
      </c>
      <c r="S53" s="23">
        <v>597.46100000000001</v>
      </c>
      <c r="U53" s="96" t="s">
        <v>29</v>
      </c>
      <c r="V53" s="97"/>
      <c r="W53" s="88"/>
      <c r="X53" s="88"/>
      <c r="Y53" s="88"/>
      <c r="Z53" s="88"/>
      <c r="AA53" s="88"/>
      <c r="AB53" s="88"/>
      <c r="AC53" s="88"/>
      <c r="AD53" s="88"/>
      <c r="AE53" s="88"/>
      <c r="AF53" s="91">
        <f t="shared" ref="AF53:AK53" si="90">AF51+AF52</f>
        <v>5490.442</v>
      </c>
      <c r="AG53" s="111">
        <f t="shared" si="90"/>
        <v>6096.1080000000002</v>
      </c>
      <c r="AH53" s="16">
        <f t="shared" si="90"/>
        <v>6558.5959999999995</v>
      </c>
      <c r="AI53" s="16">
        <f t="shared" si="90"/>
        <v>6895.5469999999996</v>
      </c>
      <c r="AJ53" s="16">
        <f t="shared" si="90"/>
        <v>7365.3769999999995</v>
      </c>
      <c r="AK53" s="16">
        <f t="shared" si="90"/>
        <v>8175.9409999999998</v>
      </c>
      <c r="AL53" s="16">
        <f t="shared" ref="AL53:AM53" si="91">AL51+AL52</f>
        <v>8568.9269999999997</v>
      </c>
      <c r="AM53" s="16">
        <f t="shared" si="91"/>
        <v>8986.469000000001</v>
      </c>
      <c r="AN53" s="30">
        <f t="shared" ref="AN53" si="92">AN51+AN52</f>
        <v>9296.2020000000011</v>
      </c>
    </row>
    <row r="54" spans="1:40" ht="8.4" customHeight="1" x14ac:dyDescent="0.3">
      <c r="A54" s="2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25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110"/>
      <c r="AH54" s="37"/>
      <c r="AI54" s="37"/>
      <c r="AJ54" s="37"/>
      <c r="AK54" s="37"/>
      <c r="AL54" s="37"/>
      <c r="AM54" s="37"/>
      <c r="AN54" s="39"/>
    </row>
    <row r="55" spans="1:40" ht="14.25" customHeight="1" x14ac:dyDescent="0.3">
      <c r="A55" s="20" t="s">
        <v>80</v>
      </c>
      <c r="B55" s="14">
        <f t="shared" ref="B55:G55" si="93">SUM(B56:B59)</f>
        <v>1509.912491821862</v>
      </c>
      <c r="C55" s="14">
        <f t="shared" si="93"/>
        <v>1970.9391445625683</v>
      </c>
      <c r="D55" s="14">
        <f t="shared" si="93"/>
        <v>1997.203</v>
      </c>
      <c r="E55" s="14">
        <f t="shared" si="93"/>
        <v>1841.9299999999998</v>
      </c>
      <c r="F55" s="14">
        <f t="shared" si="93"/>
        <v>1920.904</v>
      </c>
      <c r="G55" s="14">
        <f t="shared" si="93"/>
        <v>1905.3789999999999</v>
      </c>
      <c r="H55" s="14">
        <f t="shared" ref="H55:M55" si="94">SUM(H56:H59)</f>
        <v>1819.2469999999998</v>
      </c>
      <c r="I55" s="14">
        <f t="shared" si="94"/>
        <v>2634.826</v>
      </c>
      <c r="J55" s="14">
        <f t="shared" si="94"/>
        <v>2615.0160000000001</v>
      </c>
      <c r="K55" s="14">
        <f t="shared" si="94"/>
        <v>2222.9160000000002</v>
      </c>
      <c r="L55" s="14">
        <f t="shared" si="94"/>
        <v>2252.1329999999998</v>
      </c>
      <c r="M55" s="14">
        <f t="shared" si="94"/>
        <v>2273.5729999999999</v>
      </c>
      <c r="N55" s="14">
        <f t="shared" ref="N55:O55" si="95">SUM(N56:N59)</f>
        <v>2234.0519999999997</v>
      </c>
      <c r="O55" s="14">
        <f t="shared" si="95"/>
        <v>1925.3209999999999</v>
      </c>
      <c r="P55" s="14">
        <f t="shared" ref="P55:Q55" si="96">SUM(P56:P59)</f>
        <v>1935.345</v>
      </c>
      <c r="Q55" s="14">
        <f t="shared" si="96"/>
        <v>2289.252</v>
      </c>
      <c r="R55" s="14">
        <f t="shared" ref="R55:S55" si="97">SUM(R56:R59)</f>
        <v>2040.8360000000002</v>
      </c>
      <c r="S55" s="25">
        <f t="shared" si="97"/>
        <v>1599.8910000000001</v>
      </c>
      <c r="U55" s="96" t="s">
        <v>112</v>
      </c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110"/>
      <c r="AH55" s="37"/>
      <c r="AI55" s="37"/>
      <c r="AJ55" s="37"/>
      <c r="AK55" s="37"/>
      <c r="AL55" s="37"/>
      <c r="AM55" s="37"/>
      <c r="AN55" s="39"/>
    </row>
    <row r="56" spans="1:40" ht="14.25" customHeight="1" x14ac:dyDescent="0.3">
      <c r="A56" s="22" t="s">
        <v>59</v>
      </c>
      <c r="B56" s="12">
        <v>72.657016043446305</v>
      </c>
      <c r="C56" s="12">
        <v>146.49235669968195</v>
      </c>
      <c r="D56" s="13">
        <v>154.24100000000001</v>
      </c>
      <c r="E56" s="13">
        <v>147.48500000000001</v>
      </c>
      <c r="F56" s="13">
        <v>154.386</v>
      </c>
      <c r="G56" s="13">
        <v>161.119</v>
      </c>
      <c r="H56" s="13">
        <v>195</v>
      </c>
      <c r="I56" s="13">
        <v>248.59100000000001</v>
      </c>
      <c r="J56" s="13">
        <v>287.71100000000001</v>
      </c>
      <c r="K56" s="13">
        <v>189.27699999999999</v>
      </c>
      <c r="L56" s="13">
        <v>215.67699999999999</v>
      </c>
      <c r="M56" s="13">
        <v>210.55199999999999</v>
      </c>
      <c r="N56" s="13">
        <v>190.56200000000001</v>
      </c>
      <c r="O56" s="13">
        <v>199.40600000000001</v>
      </c>
      <c r="P56" s="13">
        <v>208.11</v>
      </c>
      <c r="Q56" s="13">
        <v>253.21899999999999</v>
      </c>
      <c r="R56" s="13">
        <v>226.453</v>
      </c>
      <c r="S56" s="23">
        <v>250.25899999999999</v>
      </c>
      <c r="U56" s="89" t="s">
        <v>6</v>
      </c>
      <c r="V56" s="90"/>
      <c r="W56" s="103">
        <f t="shared" ref="W56:AN56" si="98">100*(W7+W15)/(W49-W34-W44)</f>
        <v>72.528952214532993</v>
      </c>
      <c r="X56" s="103">
        <f t="shared" si="98"/>
        <v>72.213087845210396</v>
      </c>
      <c r="Y56" s="103">
        <f t="shared" si="98"/>
        <v>72.931042958560269</v>
      </c>
      <c r="Z56" s="103">
        <f t="shared" si="98"/>
        <v>72.901310167885669</v>
      </c>
      <c r="AA56" s="103">
        <f t="shared" si="98"/>
        <v>71.881122448744364</v>
      </c>
      <c r="AB56" s="103">
        <f t="shared" si="98"/>
        <v>69.709177036250836</v>
      </c>
      <c r="AC56" s="103">
        <f t="shared" si="98"/>
        <v>68.039765725150588</v>
      </c>
      <c r="AD56" s="103">
        <f t="shared" si="98"/>
        <v>67.512414198757241</v>
      </c>
      <c r="AE56" s="103">
        <f t="shared" si="98"/>
        <v>66.963849962636047</v>
      </c>
      <c r="AF56" s="103">
        <f t="shared" si="98"/>
        <v>66.22460462743625</v>
      </c>
      <c r="AG56" s="116">
        <f t="shared" si="98"/>
        <v>64.598764101592494</v>
      </c>
      <c r="AH56" s="44">
        <f t="shared" si="98"/>
        <v>64.881123635372958</v>
      </c>
      <c r="AI56" s="44">
        <f t="shared" si="98"/>
        <v>64.246512630970898</v>
      </c>
      <c r="AJ56" s="44">
        <f t="shared" si="98"/>
        <v>62.125215553459519</v>
      </c>
      <c r="AK56" s="44">
        <f t="shared" si="98"/>
        <v>60.468933076358034</v>
      </c>
      <c r="AL56" s="44">
        <f t="shared" si="98"/>
        <v>61.073778344332332</v>
      </c>
      <c r="AM56" s="44">
        <f t="shared" si="98"/>
        <v>60.239490887945173</v>
      </c>
      <c r="AN56" s="46">
        <f t="shared" si="98"/>
        <v>59.870785486425291</v>
      </c>
    </row>
    <row r="57" spans="1:40" ht="14.25" customHeight="1" x14ac:dyDescent="0.3">
      <c r="A57" s="22" t="s">
        <v>81</v>
      </c>
      <c r="B57" s="12">
        <v>961.55341732638374</v>
      </c>
      <c r="C57" s="12">
        <v>1015.5923662863937</v>
      </c>
      <c r="D57" s="13">
        <v>1056.4290000000001</v>
      </c>
      <c r="E57" s="13">
        <v>1057.0989999999999</v>
      </c>
      <c r="F57" s="13">
        <v>1178.6289999999999</v>
      </c>
      <c r="G57" s="13">
        <v>1151.193</v>
      </c>
      <c r="H57" s="13">
        <v>1073.7940000000001</v>
      </c>
      <c r="I57" s="13">
        <v>1280.644</v>
      </c>
      <c r="J57" s="13">
        <v>1204.374</v>
      </c>
      <c r="K57" s="13">
        <v>891.67899999999997</v>
      </c>
      <c r="L57" s="13">
        <v>1016.398</v>
      </c>
      <c r="M57" s="13">
        <v>1055.8499999999999</v>
      </c>
      <c r="N57" s="13">
        <v>1065.723</v>
      </c>
      <c r="O57" s="13">
        <v>773.56899999999996</v>
      </c>
      <c r="P57" s="13">
        <v>585.95299999999997</v>
      </c>
      <c r="Q57" s="13">
        <v>853.78899999999999</v>
      </c>
      <c r="R57" s="13">
        <v>657.37300000000005</v>
      </c>
      <c r="S57" s="23">
        <v>188.93299999999999</v>
      </c>
      <c r="U57" s="104" t="s">
        <v>115</v>
      </c>
      <c r="V57" s="105"/>
      <c r="W57" s="95">
        <f t="shared" ref="W57:AN57" si="99">B55+B61</f>
        <v>2236.7095377691217</v>
      </c>
      <c r="X57" s="95">
        <f t="shared" si="99"/>
        <v>2666.262342891453</v>
      </c>
      <c r="Y57" s="95">
        <f t="shared" si="99"/>
        <v>2659.8559999999998</v>
      </c>
      <c r="Z57" s="95">
        <f t="shared" si="99"/>
        <v>2819.0219999999999</v>
      </c>
      <c r="AA57" s="95">
        <f t="shared" si="99"/>
        <v>2765.721</v>
      </c>
      <c r="AB57" s="95">
        <f t="shared" si="99"/>
        <v>2641.1509999999998</v>
      </c>
      <c r="AC57" s="95">
        <f t="shared" si="99"/>
        <v>2538.5479999999998</v>
      </c>
      <c r="AD57" s="95">
        <f t="shared" si="99"/>
        <v>3525.0070000000001</v>
      </c>
      <c r="AE57" s="95">
        <f t="shared" si="99"/>
        <v>3727.0860000000002</v>
      </c>
      <c r="AF57" s="95">
        <f t="shared" si="99"/>
        <v>3411.2060000000001</v>
      </c>
      <c r="AG57" s="109">
        <f t="shared" si="99"/>
        <v>3548.348</v>
      </c>
      <c r="AH57" s="14">
        <f t="shared" si="99"/>
        <v>4009.3269999999998</v>
      </c>
      <c r="AI57" s="14">
        <f t="shared" si="99"/>
        <v>3790.357</v>
      </c>
      <c r="AJ57" s="14">
        <f t="shared" si="99"/>
        <v>3369.2749999999996</v>
      </c>
      <c r="AK57" s="14">
        <f t="shared" si="99"/>
        <v>4347.991</v>
      </c>
      <c r="AL57" s="14">
        <f t="shared" si="99"/>
        <v>4341.2160000000003</v>
      </c>
      <c r="AM57" s="14">
        <f t="shared" si="99"/>
        <v>4148.4629999999997</v>
      </c>
      <c r="AN57" s="25">
        <f t="shared" si="99"/>
        <v>4631.8250000000007</v>
      </c>
    </row>
    <row r="58" spans="1:40" ht="14.25" customHeight="1" x14ac:dyDescent="0.3">
      <c r="A58" s="22" t="s">
        <v>82</v>
      </c>
      <c r="B58" s="12">
        <v>57.030339420054389</v>
      </c>
      <c r="C58" s="12">
        <v>377.74032793281901</v>
      </c>
      <c r="D58" s="13">
        <v>381.84899999999999</v>
      </c>
      <c r="E58" s="13">
        <v>316.74900000000002</v>
      </c>
      <c r="F58" s="13">
        <v>323.37299999999999</v>
      </c>
      <c r="G58" s="13">
        <v>290.75400000000002</v>
      </c>
      <c r="H58" s="13">
        <v>285.55399999999997</v>
      </c>
      <c r="I58" s="13">
        <v>346.90100000000001</v>
      </c>
      <c r="J58" s="13">
        <v>296.42</v>
      </c>
      <c r="K58" s="13">
        <v>420.036</v>
      </c>
      <c r="L58" s="13">
        <v>268.25099999999998</v>
      </c>
      <c r="M58" s="13">
        <v>270.11900000000003</v>
      </c>
      <c r="N58" s="13">
        <v>269.495</v>
      </c>
      <c r="O58" s="13">
        <v>244.08600000000001</v>
      </c>
      <c r="P58" s="13">
        <v>280.851</v>
      </c>
      <c r="Q58" s="13">
        <v>240.53800000000001</v>
      </c>
      <c r="R58" s="13">
        <v>281.24700000000001</v>
      </c>
      <c r="S58" s="23">
        <v>264.24900000000002</v>
      </c>
      <c r="U58" s="96" t="s">
        <v>113</v>
      </c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110"/>
      <c r="AH58" s="37"/>
      <c r="AI58" s="37"/>
      <c r="AJ58" s="37"/>
      <c r="AK58" s="37"/>
      <c r="AL58" s="37"/>
      <c r="AM58" s="37"/>
      <c r="AN58" s="39"/>
    </row>
    <row r="59" spans="1:40" ht="14.25" customHeight="1" x14ac:dyDescent="0.3">
      <c r="A59" s="22" t="s">
        <v>83</v>
      </c>
      <c r="B59" s="12">
        <v>418.6717190319776</v>
      </c>
      <c r="C59" s="12">
        <v>431.1140936436737</v>
      </c>
      <c r="D59" s="13">
        <v>404.68400000000003</v>
      </c>
      <c r="E59" s="13">
        <v>320.59699999999998</v>
      </c>
      <c r="F59" s="13">
        <v>264.51600000000002</v>
      </c>
      <c r="G59" s="13">
        <v>302.31299999999999</v>
      </c>
      <c r="H59" s="13">
        <v>264.899</v>
      </c>
      <c r="I59" s="13">
        <v>758.69</v>
      </c>
      <c r="J59" s="13">
        <v>826.51099999999997</v>
      </c>
      <c r="K59" s="13">
        <v>721.92399999999998</v>
      </c>
      <c r="L59" s="13">
        <v>751.80700000000002</v>
      </c>
      <c r="M59" s="13">
        <v>737.05200000000002</v>
      </c>
      <c r="N59" s="13">
        <v>708.27200000000005</v>
      </c>
      <c r="O59" s="13">
        <v>708.26</v>
      </c>
      <c r="P59" s="13">
        <v>860.43100000000004</v>
      </c>
      <c r="Q59" s="13">
        <v>941.70600000000002</v>
      </c>
      <c r="R59" s="13">
        <v>875.76300000000003</v>
      </c>
      <c r="S59" s="23">
        <v>896.45</v>
      </c>
      <c r="U59" s="87" t="s">
        <v>38</v>
      </c>
      <c r="V59" s="88"/>
      <c r="W59" s="95">
        <f>W12+W13</f>
        <v>608.75535888780689</v>
      </c>
      <c r="X59" s="95">
        <f t="shared" ref="X59:AM59" si="100">X12+X13</f>
        <v>1138.0938925918263</v>
      </c>
      <c r="Y59" s="95">
        <f t="shared" si="100"/>
        <v>1728.4699999999998</v>
      </c>
      <c r="Z59" s="95">
        <f t="shared" si="100"/>
        <v>2549.0810000000001</v>
      </c>
      <c r="AA59" s="95">
        <f t="shared" si="100"/>
        <v>2728.576</v>
      </c>
      <c r="AB59" s="95">
        <f t="shared" si="100"/>
        <v>2982.8010000000004</v>
      </c>
      <c r="AC59" s="95">
        <f t="shared" si="100"/>
        <v>2984.7459999999996</v>
      </c>
      <c r="AD59" s="95">
        <f t="shared" si="100"/>
        <v>3574.873</v>
      </c>
      <c r="AE59" s="95">
        <f t="shared" si="100"/>
        <v>4057.5159999999996</v>
      </c>
      <c r="AF59" s="95">
        <f t="shared" si="100"/>
        <v>4988.6869999999999</v>
      </c>
      <c r="AG59" s="109">
        <f t="shared" si="100"/>
        <v>5277.7139999999999</v>
      </c>
      <c r="AH59" s="14">
        <f t="shared" si="100"/>
        <v>7064.2820000000002</v>
      </c>
      <c r="AI59" s="14">
        <f t="shared" si="100"/>
        <v>7549.6960000000008</v>
      </c>
      <c r="AJ59" s="14">
        <f t="shared" si="100"/>
        <v>6640.143</v>
      </c>
      <c r="AK59" s="14">
        <f t="shared" si="100"/>
        <v>7032.11</v>
      </c>
      <c r="AL59" s="14">
        <f t="shared" si="100"/>
        <v>9462.402</v>
      </c>
      <c r="AM59" s="14">
        <f t="shared" si="100"/>
        <v>9523.1350000000002</v>
      </c>
      <c r="AN59" s="25">
        <f t="shared" ref="AN59" si="101">AN12+AN13</f>
        <v>10414.395</v>
      </c>
    </row>
    <row r="60" spans="1:40" ht="14.25" customHeight="1" x14ac:dyDescent="0.3">
      <c r="A60" s="2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25"/>
      <c r="T60" s="4"/>
      <c r="U60" s="87" t="s">
        <v>39</v>
      </c>
      <c r="V60" s="88"/>
      <c r="W60" s="95">
        <f>1000000*W59/5171302</f>
        <v>117.71800581126512</v>
      </c>
      <c r="X60" s="95">
        <f>1000000*X59/5181115</f>
        <v>219.66196322448474</v>
      </c>
      <c r="Y60" s="95">
        <f>1000000*Y59/5194901</f>
        <v>332.72433873138289</v>
      </c>
      <c r="Z60" s="95">
        <f>1000000*Z59/5206295</f>
        <v>489.6151677920671</v>
      </c>
      <c r="AA60" s="95">
        <f>1000000*AA59/5219732</f>
        <v>522.74254693535988</v>
      </c>
      <c r="AB60" s="95">
        <f>1000000*AB59/5236611</f>
        <v>569.60522750305506</v>
      </c>
      <c r="AC60" s="95">
        <f>1000000*AC59/5255580</f>
        <v>567.91943039588386</v>
      </c>
      <c r="AD60" s="95">
        <f>1000000*AD59/5276955</f>
        <v>677.44996877934341</v>
      </c>
      <c r="AE60" s="95">
        <f>1000000*AE59/5300484</f>
        <v>765.49915064360152</v>
      </c>
      <c r="AF60" s="95">
        <f>1000000*AF59/5326314</f>
        <v>936.61151032402518</v>
      </c>
      <c r="AG60" s="109">
        <f>1000000*AG59/5351427</f>
        <v>986.22554320557867</v>
      </c>
      <c r="AH60" s="14">
        <f>1000000*AH59/5375276</f>
        <v>1314.2175397133096</v>
      </c>
      <c r="AI60" s="14">
        <f>1000000*AI59/5401267</f>
        <v>1397.7638950268522</v>
      </c>
      <c r="AJ60" s="14">
        <f>1000000*AJ59/5426674</f>
        <v>1223.6119214089515</v>
      </c>
      <c r="AK60" s="14">
        <f>1000000*AK59/5451270</f>
        <v>1289.9948085492006</v>
      </c>
      <c r="AL60" s="14">
        <f>1000000*AL59/5471753</f>
        <v>1729.3181910806281</v>
      </c>
      <c r="AM60" s="14">
        <f>1000000*AM59/5487308</f>
        <v>1735.4839567963015</v>
      </c>
      <c r="AN60" s="25">
        <f>1000000*AN59/5503297</f>
        <v>1892.3919606737561</v>
      </c>
    </row>
    <row r="61" spans="1:40" ht="14.25" customHeight="1" x14ac:dyDescent="0.3">
      <c r="A61" s="20" t="s">
        <v>84</v>
      </c>
      <c r="B61" s="11">
        <v>726.79704594725956</v>
      </c>
      <c r="C61" s="11">
        <v>695.3231983288847</v>
      </c>
      <c r="D61" s="14">
        <v>662.65300000000002</v>
      </c>
      <c r="E61" s="14">
        <v>977.09199999999998</v>
      </c>
      <c r="F61" s="14">
        <v>844.81700000000001</v>
      </c>
      <c r="G61" s="14">
        <v>735.77200000000005</v>
      </c>
      <c r="H61" s="14">
        <v>719.30100000000004</v>
      </c>
      <c r="I61" s="14">
        <v>890.18100000000004</v>
      </c>
      <c r="J61" s="14">
        <v>1112.07</v>
      </c>
      <c r="K61" s="14">
        <v>1188.29</v>
      </c>
      <c r="L61" s="14">
        <v>1296.2149999999999</v>
      </c>
      <c r="M61" s="14">
        <v>1735.7539999999999</v>
      </c>
      <c r="N61" s="14">
        <v>1556.3050000000001</v>
      </c>
      <c r="O61" s="14">
        <v>1443.954</v>
      </c>
      <c r="P61" s="14">
        <v>2412.6460000000002</v>
      </c>
      <c r="Q61" s="14">
        <v>2051.9639999999999</v>
      </c>
      <c r="R61" s="14">
        <v>2107.627</v>
      </c>
      <c r="S61" s="25">
        <v>3031.9340000000002</v>
      </c>
      <c r="U61" s="104" t="s">
        <v>7</v>
      </c>
      <c r="V61" s="105"/>
      <c r="W61" s="88"/>
      <c r="X61" s="95"/>
      <c r="Y61" s="95"/>
      <c r="Z61" s="95"/>
      <c r="AA61" s="95"/>
      <c r="AB61" s="95"/>
      <c r="AC61" s="95"/>
      <c r="AD61" s="95"/>
      <c r="AE61" s="95"/>
      <c r="AF61" s="95"/>
      <c r="AG61" s="109"/>
      <c r="AH61" s="14"/>
      <c r="AI61" s="14"/>
      <c r="AJ61" s="14"/>
      <c r="AK61" s="14"/>
      <c r="AL61" s="14"/>
      <c r="AM61" s="14"/>
      <c r="AN61" s="25"/>
    </row>
    <row r="62" spans="1:40" ht="14.25" customHeight="1" x14ac:dyDescent="0.3">
      <c r="A62" s="24"/>
      <c r="B62" s="11"/>
      <c r="C62" s="11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25"/>
      <c r="U62" s="87" t="s">
        <v>38</v>
      </c>
      <c r="V62" s="88"/>
      <c r="W62" s="94">
        <f t="shared" ref="W62:AN62" si="102">W28-(W34+W35+W36+W37+W44+W45+W46+W47)</f>
        <v>3675.4300985749442</v>
      </c>
      <c r="X62" s="94">
        <f t="shared" si="102"/>
        <v>3863.7164822486056</v>
      </c>
      <c r="Y62" s="94">
        <f t="shared" si="102"/>
        <v>4055.0269999999991</v>
      </c>
      <c r="Z62" s="94">
        <f t="shared" si="102"/>
        <v>4487.2929999999997</v>
      </c>
      <c r="AA62" s="94">
        <f t="shared" si="102"/>
        <v>5217.1419999999998</v>
      </c>
      <c r="AB62" s="94">
        <f t="shared" si="102"/>
        <v>6159.2969999999996</v>
      </c>
      <c r="AC62" s="94">
        <f t="shared" si="102"/>
        <v>7102.5319999999983</v>
      </c>
      <c r="AD62" s="94">
        <f t="shared" si="102"/>
        <v>7727.7220000000007</v>
      </c>
      <c r="AE62" s="94">
        <f t="shared" si="102"/>
        <v>8205.5589999999993</v>
      </c>
      <c r="AF62" s="94">
        <f t="shared" si="102"/>
        <v>8685.0190000000002</v>
      </c>
      <c r="AG62" s="113">
        <f t="shared" si="102"/>
        <v>9842.3819999999996</v>
      </c>
      <c r="AH62" s="11">
        <f t="shared" si="102"/>
        <v>10519.407999999999</v>
      </c>
      <c r="AI62" s="11">
        <f t="shared" si="102"/>
        <v>11002.727000000001</v>
      </c>
      <c r="AJ62" s="11">
        <f t="shared" si="102"/>
        <v>12270.585999999999</v>
      </c>
      <c r="AK62" s="11">
        <f t="shared" si="102"/>
        <v>13847.499000000002</v>
      </c>
      <c r="AL62" s="11">
        <f t="shared" si="102"/>
        <v>14740.186</v>
      </c>
      <c r="AM62" s="11">
        <f t="shared" si="102"/>
        <v>15558.416999999999</v>
      </c>
      <c r="AN62" s="21">
        <f t="shared" si="102"/>
        <v>16138.767999999998</v>
      </c>
    </row>
    <row r="63" spans="1:40" ht="14.25" customHeight="1" x14ac:dyDescent="0.3">
      <c r="A63" s="31" t="s">
        <v>8</v>
      </c>
      <c r="B63" s="32">
        <f>B7+B28+B29+B34</f>
        <v>32811.425510408313</v>
      </c>
      <c r="C63" s="32">
        <f t="shared" ref="C63:M63" si="103">C7+C29+C34</f>
        <v>34106.612308328833</v>
      </c>
      <c r="D63" s="32">
        <f t="shared" si="103"/>
        <v>34756.446000000004</v>
      </c>
      <c r="E63" s="32">
        <f t="shared" si="103"/>
        <v>36197.256000000001</v>
      </c>
      <c r="F63" s="32">
        <f t="shared" si="103"/>
        <v>36923.417999999998</v>
      </c>
      <c r="G63" s="32">
        <f t="shared" si="103"/>
        <v>37772.39</v>
      </c>
      <c r="H63" s="32">
        <f t="shared" si="103"/>
        <v>38630.717000000004</v>
      </c>
      <c r="I63" s="32">
        <f t="shared" si="103"/>
        <v>40300.438999999998</v>
      </c>
      <c r="J63" s="32">
        <f t="shared" si="103"/>
        <v>41784.558999999994</v>
      </c>
      <c r="K63" s="32">
        <f t="shared" si="103"/>
        <v>43203.691999999995</v>
      </c>
      <c r="L63" s="32">
        <f t="shared" si="103"/>
        <v>44725.719999999994</v>
      </c>
      <c r="M63" s="32">
        <f t="shared" si="103"/>
        <v>47347.074000000001</v>
      </c>
      <c r="N63" s="32">
        <f t="shared" ref="N63:O63" si="104">N7+N29+N34</f>
        <v>48605.752000000008</v>
      </c>
      <c r="O63" s="32">
        <f t="shared" si="104"/>
        <v>49812.299999999996</v>
      </c>
      <c r="P63" s="32">
        <f t="shared" ref="P63:Q63" si="105">P7+P29+P34</f>
        <v>51515.525999999998</v>
      </c>
      <c r="Q63" s="32">
        <f t="shared" si="105"/>
        <v>54181.618999999999</v>
      </c>
      <c r="R63" s="32">
        <f t="shared" ref="R63:S63" si="106">R7+R29+R34</f>
        <v>55085.384000000005</v>
      </c>
      <c r="S63" s="33">
        <f t="shared" si="106"/>
        <v>56908.303</v>
      </c>
      <c r="U63" s="87" t="s">
        <v>39</v>
      </c>
      <c r="V63" s="88"/>
      <c r="W63" s="95">
        <f>1000000*W62/5171302</f>
        <v>710.7359227086223</v>
      </c>
      <c r="X63" s="95">
        <f>1000000*X62/5181115</f>
        <v>745.73069353770484</v>
      </c>
      <c r="Y63" s="95">
        <f>1000000*Y62/5194901</f>
        <v>780.57830168467103</v>
      </c>
      <c r="Z63" s="95">
        <f>1000000*Z62/5206295</f>
        <v>861.89756823230334</v>
      </c>
      <c r="AA63" s="95">
        <f>1000000*AA62/5219732</f>
        <v>999.50380594252726</v>
      </c>
      <c r="AB63" s="95">
        <f>1000000*AB62/5236611</f>
        <v>1176.199072262576</v>
      </c>
      <c r="AC63" s="95">
        <f>1000000*AC62/5255580</f>
        <v>1351.4268643993619</v>
      </c>
      <c r="AD63" s="95">
        <f>1000000*AD62/5276955</f>
        <v>1464.4282545521046</v>
      </c>
      <c r="AE63" s="95">
        <f>1000000*AE62/5300484</f>
        <v>1548.0773076571872</v>
      </c>
      <c r="AF63" s="95">
        <f>1000000*AF62/5326314</f>
        <v>1630.5871189719569</v>
      </c>
      <c r="AG63" s="109">
        <f>1000000*AG62/5351427</f>
        <v>1839.2070003010413</v>
      </c>
      <c r="AH63" s="14">
        <f>1000000*AH62/5375276</f>
        <v>1956.9986731844094</v>
      </c>
      <c r="AI63" s="14">
        <f>1000000*AI62/5401267</f>
        <v>2037.0640814460755</v>
      </c>
      <c r="AJ63" s="14">
        <f>1000000*AJ62/5426674</f>
        <v>2261.161440690928</v>
      </c>
      <c r="AK63" s="14">
        <f>1000000*AK62/5451270</f>
        <v>2540.2335602529324</v>
      </c>
      <c r="AL63" s="14">
        <f>1000000*AL62/5471753</f>
        <v>2693.8690397757355</v>
      </c>
      <c r="AM63" s="14">
        <f>1000000*AM62/5487308</f>
        <v>2835.3460385310977</v>
      </c>
      <c r="AN63" s="25">
        <f>1000000*AN62/5503297</f>
        <v>2932.5635160159441</v>
      </c>
    </row>
    <row r="64" spans="1:40" ht="14.25" customHeight="1" x14ac:dyDescent="0.3">
      <c r="B64" s="6"/>
      <c r="C64" s="6"/>
      <c r="U64" s="106" t="s">
        <v>114</v>
      </c>
      <c r="V64" s="107"/>
      <c r="W64" s="108">
        <f>B24+B25</f>
        <v>1783.5458387784172</v>
      </c>
      <c r="X64" s="108">
        <f t="shared" ref="X64:AN64" si="107">C24+C25</f>
        <v>1619.9990581476118</v>
      </c>
      <c r="Y64" s="108">
        <f t="shared" si="107"/>
        <v>1701.319</v>
      </c>
      <c r="Z64" s="108">
        <f t="shared" si="107"/>
        <v>1970.8820000000001</v>
      </c>
      <c r="AA64" s="108">
        <f t="shared" si="107"/>
        <v>2060.0839999999998</v>
      </c>
      <c r="AB64" s="108">
        <f t="shared" si="107"/>
        <v>2105.817</v>
      </c>
      <c r="AC64" s="108">
        <f t="shared" si="107"/>
        <v>2396.5129999999999</v>
      </c>
      <c r="AD64" s="108">
        <f t="shared" si="107"/>
        <v>2654.1849999999999</v>
      </c>
      <c r="AE64" s="108">
        <f t="shared" si="107"/>
        <v>2695.6329999999998</v>
      </c>
      <c r="AF64" s="108">
        <f t="shared" si="107"/>
        <v>2945.107</v>
      </c>
      <c r="AG64" s="117">
        <f t="shared" si="107"/>
        <v>3093.12</v>
      </c>
      <c r="AH64" s="41">
        <f t="shared" si="107"/>
        <v>4224.5050000000001</v>
      </c>
      <c r="AI64" s="41">
        <f t="shared" si="107"/>
        <v>4351.6139999999996</v>
      </c>
      <c r="AJ64" s="41">
        <f t="shared" si="107"/>
        <v>4436.4000000000005</v>
      </c>
      <c r="AK64" s="41">
        <f t="shared" si="107"/>
        <v>4289.5609999999997</v>
      </c>
      <c r="AL64" s="41">
        <f t="shared" si="107"/>
        <v>5353.3429999999998</v>
      </c>
      <c r="AM64" s="41">
        <f t="shared" si="107"/>
        <v>5552.6390000000001</v>
      </c>
      <c r="AN64" s="42">
        <f t="shared" si="107"/>
        <v>5654.326</v>
      </c>
    </row>
    <row r="65" spans="2:3" ht="13.5" customHeight="1" x14ac:dyDescent="0.3"/>
    <row r="66" spans="2:3" x14ac:dyDescent="0.3">
      <c r="B66" s="6"/>
      <c r="C66" s="6"/>
    </row>
  </sheetData>
  <phoneticPr fontId="7" type="noConversion"/>
  <pageMargins left="0.31496062992125984" right="0.27559055118110237" top="0.55118110236220474" bottom="0.51181102362204722" header="0.31496062992125984" footer="0.19685039370078741"/>
  <pageSetup paperSize="9" scale="72" orientation="portrait" horizontalDpi="300" verticalDpi="300" r:id="rId1"/>
  <headerFooter>
    <oddFooter xml:space="preserve">&amp;R&amp;"Arial,Normaali"&amp;9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>
    <tabColor theme="6" tint="-0.249977111117893"/>
    <pageSetUpPr fitToPage="1"/>
  </sheetPr>
  <dimension ref="A1:AN65"/>
  <sheetViews>
    <sheetView zoomScale="105" zoomScaleNormal="105" workbookViewId="0">
      <pane ySplit="5" topLeftCell="A6" activePane="bottomLeft" state="frozen"/>
      <selection pane="bottomLeft" activeCell="AJ63" sqref="AJ63"/>
    </sheetView>
  </sheetViews>
  <sheetFormatPr defaultColWidth="9.6640625" defaultRowHeight="13.8" x14ac:dyDescent="0.3"/>
  <cols>
    <col min="1" max="1" width="25.109375" style="1" customWidth="1"/>
    <col min="2" max="9" width="5.21875" style="1" hidden="1" customWidth="1"/>
    <col min="10" max="10" width="4.88671875" style="1" hidden="1" customWidth="1"/>
    <col min="11" max="11" width="5.109375" style="1" hidden="1" customWidth="1"/>
    <col min="12" max="19" width="5.109375" style="1" customWidth="1"/>
    <col min="20" max="20" width="2.109375" style="1" customWidth="1"/>
    <col min="21" max="21" width="26.5546875" style="1" customWidth="1"/>
    <col min="22" max="32" width="5.88671875" style="1" hidden="1" customWidth="1"/>
    <col min="33" max="40" width="5.109375" style="1" customWidth="1"/>
    <col min="41" max="16384" width="9.6640625" style="1"/>
  </cols>
  <sheetData>
    <row r="1" spans="1:40" x14ac:dyDescent="0.3">
      <c r="A1" s="7">
        <v>42905</v>
      </c>
    </row>
    <row r="2" spans="1:40" ht="18" customHeight="1" x14ac:dyDescent="0.3">
      <c r="A2" s="8" t="s">
        <v>121</v>
      </c>
    </row>
    <row r="3" spans="1:40" ht="13.5" customHeight="1" x14ac:dyDescent="0.3">
      <c r="A3" s="3" t="s">
        <v>23</v>
      </c>
    </row>
    <row r="4" spans="1:40" ht="8.25" customHeight="1" x14ac:dyDescent="0.3"/>
    <row r="5" spans="1:40" ht="16.5" customHeight="1" x14ac:dyDescent="0.3">
      <c r="A5" s="34" t="s">
        <v>0</v>
      </c>
      <c r="B5" s="35" t="s">
        <v>18</v>
      </c>
      <c r="C5" s="35">
        <v>2000</v>
      </c>
      <c r="D5" s="35" t="s">
        <v>14</v>
      </c>
      <c r="E5" s="35" t="s">
        <v>19</v>
      </c>
      <c r="F5" s="35" t="s">
        <v>20</v>
      </c>
      <c r="G5" s="35" t="s">
        <v>22</v>
      </c>
      <c r="H5" s="35" t="s">
        <v>24</v>
      </c>
      <c r="I5" s="35" t="s">
        <v>25</v>
      </c>
      <c r="J5" s="35" t="s">
        <v>26</v>
      </c>
      <c r="K5" s="35" t="s">
        <v>30</v>
      </c>
      <c r="L5" s="35" t="s">
        <v>32</v>
      </c>
      <c r="M5" s="35" t="s">
        <v>34</v>
      </c>
      <c r="N5" s="35" t="s">
        <v>35</v>
      </c>
      <c r="O5" s="35" t="s">
        <v>36</v>
      </c>
      <c r="P5" s="53" t="s">
        <v>37</v>
      </c>
      <c r="Q5" s="53" t="s">
        <v>42</v>
      </c>
      <c r="R5" s="35" t="s">
        <v>117</v>
      </c>
      <c r="S5" s="35" t="s">
        <v>116</v>
      </c>
      <c r="T5" s="56"/>
      <c r="U5" s="34" t="s">
        <v>1</v>
      </c>
      <c r="V5" s="34"/>
      <c r="W5" s="35" t="s">
        <v>18</v>
      </c>
      <c r="X5" s="35">
        <v>2000</v>
      </c>
      <c r="Y5" s="35" t="s">
        <v>14</v>
      </c>
      <c r="Z5" s="35" t="s">
        <v>19</v>
      </c>
      <c r="AA5" s="35" t="s">
        <v>20</v>
      </c>
      <c r="AB5" s="35" t="s">
        <v>22</v>
      </c>
      <c r="AC5" s="35" t="s">
        <v>24</v>
      </c>
      <c r="AD5" s="35" t="s">
        <v>25</v>
      </c>
      <c r="AE5" s="35" t="s">
        <v>26</v>
      </c>
      <c r="AF5" s="35" t="s">
        <v>30</v>
      </c>
      <c r="AG5" s="35" t="s">
        <v>32</v>
      </c>
      <c r="AH5" s="35" t="s">
        <v>34</v>
      </c>
      <c r="AI5" s="35" t="s">
        <v>35</v>
      </c>
      <c r="AJ5" s="35" t="s">
        <v>36</v>
      </c>
      <c r="AK5" s="53" t="s">
        <v>37</v>
      </c>
      <c r="AL5" s="53" t="s">
        <v>42</v>
      </c>
      <c r="AM5" s="35" t="s">
        <v>117</v>
      </c>
      <c r="AN5" s="35" t="s">
        <v>116</v>
      </c>
    </row>
    <row r="6" spans="1:40" ht="9" customHeight="1" x14ac:dyDescent="0.3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  <c r="Q6" s="120"/>
      <c r="R6" s="120"/>
      <c r="S6" s="122"/>
      <c r="T6" s="56"/>
      <c r="U6" s="57"/>
      <c r="V6" s="125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2"/>
    </row>
    <row r="7" spans="1:40" ht="14.25" customHeight="1" x14ac:dyDescent="0.3">
      <c r="A7" s="60" t="s">
        <v>63</v>
      </c>
      <c r="B7" s="61">
        <f t="shared" ref="B7:G7" si="0">B8+B14+B22</f>
        <v>3139.5075121137356</v>
      </c>
      <c r="C7" s="61">
        <f t="shared" si="0"/>
        <v>3196.4488801206917</v>
      </c>
      <c r="D7" s="61">
        <f t="shared" si="0"/>
        <v>3255.6420000000003</v>
      </c>
      <c r="E7" s="61">
        <f t="shared" si="0"/>
        <v>3388.2559999999994</v>
      </c>
      <c r="F7" s="61">
        <f t="shared" si="0"/>
        <v>3511.248</v>
      </c>
      <c r="G7" s="61">
        <f t="shared" si="0"/>
        <v>3631.0649999999996</v>
      </c>
      <c r="H7" s="61">
        <f t="shared" ref="H7:M7" si="1">H8+H14+H22</f>
        <v>3786.3179999999998</v>
      </c>
      <c r="I7" s="61">
        <f t="shared" si="1"/>
        <v>4041.2769999999996</v>
      </c>
      <c r="J7" s="61">
        <f t="shared" si="1"/>
        <v>4207.76</v>
      </c>
      <c r="K7" s="61">
        <f t="shared" si="1"/>
        <v>4382.1750000000002</v>
      </c>
      <c r="L7" s="61">
        <f t="shared" si="1"/>
        <v>4510.0649999999987</v>
      </c>
      <c r="M7" s="61">
        <f t="shared" si="1"/>
        <v>6455.853000000001</v>
      </c>
      <c r="N7" s="61">
        <f t="shared" ref="N7:O7" si="2">N8+N14+N22</f>
        <v>6709.7120000000004</v>
      </c>
      <c r="O7" s="61">
        <f t="shared" si="2"/>
        <v>6920.7259999999997</v>
      </c>
      <c r="P7" s="63">
        <f t="shared" ref="P7:Q7" si="3">P8+P14+P22</f>
        <v>7071.4030000000002</v>
      </c>
      <c r="Q7" s="61">
        <f t="shared" si="3"/>
        <v>7228.8689999999997</v>
      </c>
      <c r="R7" s="61">
        <f t="shared" ref="R7:S7" si="4">R8+R14+R22</f>
        <v>7324.357</v>
      </c>
      <c r="S7" s="62">
        <f t="shared" si="4"/>
        <v>7537.7999999999993</v>
      </c>
      <c r="T7" s="77"/>
      <c r="U7" s="60" t="s">
        <v>85</v>
      </c>
      <c r="V7" s="126"/>
      <c r="W7" s="61">
        <f t="shared" ref="W7:AB7" si="5">SUM(W8:W13)</f>
        <v>2671.0974094013686</v>
      </c>
      <c r="X7" s="61">
        <f t="shared" si="5"/>
        <v>2733.5800650214519</v>
      </c>
      <c r="Y7" s="61">
        <f t="shared" si="5"/>
        <v>2758.4340000000002</v>
      </c>
      <c r="Z7" s="61">
        <f t="shared" si="5"/>
        <v>2796.2620000000002</v>
      </c>
      <c r="AA7" s="61">
        <f t="shared" si="5"/>
        <v>2825.2999999999997</v>
      </c>
      <c r="AB7" s="61">
        <f t="shared" si="5"/>
        <v>2855.1289999999999</v>
      </c>
      <c r="AC7" s="61">
        <f t="shared" ref="AC7:AH7" si="6">SUM(AC8:AC13)</f>
        <v>2901.9990000000003</v>
      </c>
      <c r="AD7" s="61">
        <f t="shared" si="6"/>
        <v>2964.0090000000005</v>
      </c>
      <c r="AE7" s="61">
        <f t="shared" si="6"/>
        <v>2992.8040000000001</v>
      </c>
      <c r="AF7" s="61">
        <f t="shared" si="6"/>
        <v>3057.3009999999999</v>
      </c>
      <c r="AG7" s="61">
        <f t="shared" si="6"/>
        <v>3075.0059999999999</v>
      </c>
      <c r="AH7" s="61">
        <f t="shared" si="6"/>
        <v>3600.6259999999997</v>
      </c>
      <c r="AI7" s="61">
        <f t="shared" ref="AI7:AJ7" si="7">SUM(AI8:AI13)</f>
        <v>3634.3989999999999</v>
      </c>
      <c r="AJ7" s="61">
        <f t="shared" si="7"/>
        <v>3553.3319999999999</v>
      </c>
      <c r="AK7" s="61">
        <f t="shared" ref="AK7:AL7" si="8">SUM(AK8:AK13)</f>
        <v>3458.2289999999998</v>
      </c>
      <c r="AL7" s="61">
        <f t="shared" si="8"/>
        <v>3496.71</v>
      </c>
      <c r="AM7" s="61">
        <f t="shared" ref="AM7:AN7" si="9">SUM(AM8:AM13)</f>
        <v>3582.8969999999999</v>
      </c>
      <c r="AN7" s="62">
        <f t="shared" si="9"/>
        <v>3729.0800000000004</v>
      </c>
    </row>
    <row r="8" spans="1:40" ht="14.25" customHeight="1" x14ac:dyDescent="0.3">
      <c r="A8" s="20" t="s">
        <v>58</v>
      </c>
      <c r="B8" s="11">
        <f t="shared" ref="B8:G8" si="10">SUM(B9:B12)</f>
        <v>41.249939031876657</v>
      </c>
      <c r="C8" s="11">
        <f t="shared" si="10"/>
        <v>50.087037251943833</v>
      </c>
      <c r="D8" s="11">
        <f t="shared" si="10"/>
        <v>58.370999999999995</v>
      </c>
      <c r="E8" s="11">
        <f t="shared" si="10"/>
        <v>62.393999999999998</v>
      </c>
      <c r="F8" s="11">
        <f t="shared" si="10"/>
        <v>69.935000000000002</v>
      </c>
      <c r="G8" s="11">
        <f t="shared" si="10"/>
        <v>73.772999999999996</v>
      </c>
      <c r="H8" s="11">
        <f t="shared" ref="H8:M8" si="11">SUM(H9:H12)</f>
        <v>86.743000000000009</v>
      </c>
      <c r="I8" s="11">
        <f t="shared" si="11"/>
        <v>105.41000000000001</v>
      </c>
      <c r="J8" s="11">
        <f t="shared" si="11"/>
        <v>125.68799999999999</v>
      </c>
      <c r="K8" s="11">
        <f t="shared" si="11"/>
        <v>125.11800000000001</v>
      </c>
      <c r="L8" s="11">
        <f t="shared" si="11"/>
        <v>135.11499999999998</v>
      </c>
      <c r="M8" s="11">
        <f t="shared" si="11"/>
        <v>141.19800000000001</v>
      </c>
      <c r="N8" s="11">
        <f t="shared" ref="N8:O8" si="12">SUM(N9:N12)</f>
        <v>147.32500000000002</v>
      </c>
      <c r="O8" s="11">
        <f t="shared" si="12"/>
        <v>159.04399999999998</v>
      </c>
      <c r="P8" s="48">
        <f t="shared" ref="P8:Q8" si="13">SUM(P9:P12)</f>
        <v>169.05999999999997</v>
      </c>
      <c r="Q8" s="11">
        <f t="shared" si="13"/>
        <v>181.38500000000002</v>
      </c>
      <c r="R8" s="11">
        <f t="shared" ref="R8:S8" si="14">SUM(R9:R12)</f>
        <v>183.89399999999998</v>
      </c>
      <c r="S8" s="21">
        <f t="shared" si="14"/>
        <v>176.833</v>
      </c>
      <c r="T8" s="77"/>
      <c r="U8" s="20" t="s">
        <v>86</v>
      </c>
      <c r="V8" s="72"/>
      <c r="W8" s="11">
        <v>2194.5053004425022</v>
      </c>
      <c r="X8" s="11">
        <v>2345.2598755745717</v>
      </c>
      <c r="Y8" s="11">
        <v>2382.3919999999998</v>
      </c>
      <c r="Z8" s="11">
        <v>2389.9630000000002</v>
      </c>
      <c r="AA8" s="11">
        <v>2384.7060000000001</v>
      </c>
      <c r="AB8" s="11">
        <v>2390.7510000000002</v>
      </c>
      <c r="AC8" s="11">
        <v>2399.873</v>
      </c>
      <c r="AD8" s="11">
        <v>2422.9740000000002</v>
      </c>
      <c r="AE8" s="11">
        <v>2439.15</v>
      </c>
      <c r="AF8" s="11">
        <v>2439.248</v>
      </c>
      <c r="AG8" s="11">
        <v>2370.4160000000002</v>
      </c>
      <c r="AH8" s="11">
        <v>2867.5450000000001</v>
      </c>
      <c r="AI8" s="11">
        <v>2880.701</v>
      </c>
      <c r="AJ8" s="11">
        <v>2876.5059999999999</v>
      </c>
      <c r="AK8" s="11">
        <v>2813.7539999999999</v>
      </c>
      <c r="AL8" s="11">
        <v>2807.16</v>
      </c>
      <c r="AM8" s="11">
        <v>2759.37</v>
      </c>
      <c r="AN8" s="21">
        <v>2746.9870000000001</v>
      </c>
    </row>
    <row r="9" spans="1:40" ht="14.25" customHeight="1" x14ac:dyDescent="0.3">
      <c r="A9" s="22" t="s">
        <v>46</v>
      </c>
      <c r="B9" s="12">
        <v>8.1241495997968283</v>
      </c>
      <c r="C9" s="12">
        <v>19.68236028208479</v>
      </c>
      <c r="D9" s="12">
        <v>19.233000000000001</v>
      </c>
      <c r="E9" s="12">
        <v>18.879000000000001</v>
      </c>
      <c r="F9" s="12">
        <v>18.385000000000002</v>
      </c>
      <c r="G9" s="12">
        <v>12.022</v>
      </c>
      <c r="H9" s="12">
        <v>11.823</v>
      </c>
      <c r="I9" s="12">
        <v>13.92</v>
      </c>
      <c r="J9" s="12">
        <v>14.045999999999999</v>
      </c>
      <c r="K9" s="12">
        <v>20.375</v>
      </c>
      <c r="L9" s="12">
        <v>24.347000000000001</v>
      </c>
      <c r="M9" s="12">
        <v>27.21</v>
      </c>
      <c r="N9" s="12">
        <v>28.457999999999998</v>
      </c>
      <c r="O9" s="12">
        <v>25.832999999999998</v>
      </c>
      <c r="P9" s="55">
        <v>38.353999999999999</v>
      </c>
      <c r="Q9" s="12">
        <v>44.250999999999998</v>
      </c>
      <c r="R9" s="12">
        <v>141.55199999999999</v>
      </c>
      <c r="S9" s="28">
        <v>128.691</v>
      </c>
      <c r="T9" s="77"/>
      <c r="U9" s="20"/>
      <c r="V9" s="20" t="s">
        <v>9</v>
      </c>
      <c r="W9" s="11"/>
      <c r="X9" s="11">
        <v>6.1052217305528504E-2</v>
      </c>
      <c r="Y9" s="11">
        <v>0.159</v>
      </c>
      <c r="Z9" s="11">
        <v>0.13300000000000001</v>
      </c>
      <c r="AA9" s="11">
        <v>0.19400000000000001</v>
      </c>
      <c r="AB9" s="11">
        <v>7.1999999999999995E-2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21"/>
    </row>
    <row r="10" spans="1:40" ht="14.25" customHeight="1" x14ac:dyDescent="0.3">
      <c r="A10" s="22" t="s">
        <v>47</v>
      </c>
      <c r="B10" s="12">
        <v>17.15987776101505</v>
      </c>
      <c r="C10" s="12">
        <v>17.536786904215294</v>
      </c>
      <c r="D10" s="12">
        <v>23.297999999999998</v>
      </c>
      <c r="E10" s="12">
        <v>19.498999999999999</v>
      </c>
      <c r="F10" s="12">
        <v>26.635000000000002</v>
      </c>
      <c r="G10" s="12">
        <v>40.348999999999997</v>
      </c>
      <c r="H10" s="12">
        <v>50.475999999999999</v>
      </c>
      <c r="I10" s="12">
        <v>70.537000000000006</v>
      </c>
      <c r="J10" s="12">
        <v>91.417000000000002</v>
      </c>
      <c r="K10" s="12">
        <v>85.128</v>
      </c>
      <c r="L10" s="12">
        <v>81.021000000000001</v>
      </c>
      <c r="M10" s="12">
        <v>85.619</v>
      </c>
      <c r="N10" s="12">
        <v>86.771000000000001</v>
      </c>
      <c r="O10" s="12">
        <v>94.825999999999993</v>
      </c>
      <c r="P10" s="55">
        <v>91.149000000000001</v>
      </c>
      <c r="Q10" s="12">
        <v>98.305000000000007</v>
      </c>
      <c r="R10" s="123" t="s">
        <v>43</v>
      </c>
      <c r="S10" s="80" t="s">
        <v>43</v>
      </c>
      <c r="T10" s="77"/>
      <c r="U10" s="24" t="s">
        <v>87</v>
      </c>
      <c r="V10" s="73"/>
      <c r="W10" s="14">
        <v>229.92298674847325</v>
      </c>
      <c r="X10" s="14">
        <v>217.38726783759103</v>
      </c>
      <c r="Y10" s="14">
        <v>210.00299999999999</v>
      </c>
      <c r="Z10" s="14">
        <v>215.03800000000001</v>
      </c>
      <c r="AA10" s="14">
        <v>190.554</v>
      </c>
      <c r="AB10" s="14">
        <v>177.52</v>
      </c>
      <c r="AC10" s="14">
        <v>171.36500000000001</v>
      </c>
      <c r="AD10" s="14">
        <v>161.286</v>
      </c>
      <c r="AE10" s="14">
        <v>157.19900000000001</v>
      </c>
      <c r="AF10" s="14">
        <v>157.19300000000001</v>
      </c>
      <c r="AG10" s="14">
        <v>144.46799999999999</v>
      </c>
      <c r="AH10" s="14">
        <v>139.27799999999999</v>
      </c>
      <c r="AI10" s="14">
        <v>134.33799999999999</v>
      </c>
      <c r="AJ10" s="14">
        <v>129.34899999999999</v>
      </c>
      <c r="AK10" s="14">
        <v>114.664</v>
      </c>
      <c r="AL10" s="14">
        <v>83.179000000000002</v>
      </c>
      <c r="AM10" s="14">
        <v>73.179000000000002</v>
      </c>
      <c r="AN10" s="25">
        <v>66.67</v>
      </c>
    </row>
    <row r="11" spans="1:40" ht="14.25" customHeight="1" x14ac:dyDescent="0.3">
      <c r="A11" s="22" t="s">
        <v>48</v>
      </c>
      <c r="B11" s="12">
        <v>4.7721642254189138</v>
      </c>
      <c r="C11" s="12">
        <v>6.9554116988157881</v>
      </c>
      <c r="D11" s="12">
        <v>7.0709999999999997</v>
      </c>
      <c r="E11" s="12">
        <v>13.503</v>
      </c>
      <c r="F11" s="12">
        <v>13.994999999999999</v>
      </c>
      <c r="G11" s="12">
        <v>11.314</v>
      </c>
      <c r="H11" s="12">
        <v>12.561999999999999</v>
      </c>
      <c r="I11" s="12">
        <v>12.775</v>
      </c>
      <c r="J11" s="12">
        <v>14.44</v>
      </c>
      <c r="K11" s="12">
        <v>15.105</v>
      </c>
      <c r="L11" s="12">
        <v>18.821000000000002</v>
      </c>
      <c r="M11" s="12">
        <v>20.254999999999999</v>
      </c>
      <c r="N11" s="12">
        <v>20.506</v>
      </c>
      <c r="O11" s="12">
        <v>21.981000000000002</v>
      </c>
      <c r="P11" s="55">
        <v>26.32</v>
      </c>
      <c r="Q11" s="12">
        <v>24.841000000000001</v>
      </c>
      <c r="R11" s="12">
        <v>25.13</v>
      </c>
      <c r="S11" s="28">
        <v>23.760999999999999</v>
      </c>
      <c r="T11" s="77"/>
      <c r="U11" s="24" t="s">
        <v>88</v>
      </c>
      <c r="V11" s="73"/>
      <c r="W11" s="14">
        <v>157.27404372549714</v>
      </c>
      <c r="X11" s="14">
        <v>103.40059168512529</v>
      </c>
      <c r="Y11" s="14">
        <v>104.99</v>
      </c>
      <c r="Z11" s="14">
        <v>111.541</v>
      </c>
      <c r="AA11" s="14">
        <v>105.89</v>
      </c>
      <c r="AB11" s="14">
        <v>140.596</v>
      </c>
      <c r="AC11" s="14">
        <v>149.37700000000001</v>
      </c>
      <c r="AD11" s="14">
        <v>155.608</v>
      </c>
      <c r="AE11" s="14">
        <v>165.626</v>
      </c>
      <c r="AF11" s="14">
        <v>163.08000000000001</v>
      </c>
      <c r="AG11" s="14">
        <v>164.31200000000001</v>
      </c>
      <c r="AH11" s="14">
        <v>168.04300000000001</v>
      </c>
      <c r="AI11" s="14">
        <v>167.92400000000001</v>
      </c>
      <c r="AJ11" s="14">
        <v>160.154</v>
      </c>
      <c r="AK11" s="14">
        <v>159.999</v>
      </c>
      <c r="AL11" s="14">
        <v>163.864</v>
      </c>
      <c r="AM11" s="14">
        <v>160.62799999999999</v>
      </c>
      <c r="AN11" s="25">
        <v>161.40199999999999</v>
      </c>
    </row>
    <row r="12" spans="1:40" ht="14.25" customHeight="1" x14ac:dyDescent="0.3">
      <c r="A12" s="22" t="s">
        <v>49</v>
      </c>
      <c r="B12" s="12">
        <v>11.193747445645867</v>
      </c>
      <c r="C12" s="12">
        <v>5.9124783668279592</v>
      </c>
      <c r="D12" s="12">
        <v>8.7690000000000001</v>
      </c>
      <c r="E12" s="12">
        <v>10.513</v>
      </c>
      <c r="F12" s="12">
        <v>10.92</v>
      </c>
      <c r="G12" s="12">
        <v>10.087999999999999</v>
      </c>
      <c r="H12" s="12">
        <v>11.882</v>
      </c>
      <c r="I12" s="12">
        <v>8.1780000000000008</v>
      </c>
      <c r="J12" s="12">
        <v>5.7850000000000001</v>
      </c>
      <c r="K12" s="12">
        <v>4.51</v>
      </c>
      <c r="L12" s="12">
        <v>10.926</v>
      </c>
      <c r="M12" s="12">
        <v>8.1140000000000008</v>
      </c>
      <c r="N12" s="12">
        <v>11.59</v>
      </c>
      <c r="O12" s="12">
        <v>16.404</v>
      </c>
      <c r="P12" s="55">
        <v>13.237</v>
      </c>
      <c r="Q12" s="12">
        <v>13.988</v>
      </c>
      <c r="R12" s="12">
        <v>17.212</v>
      </c>
      <c r="S12" s="28">
        <v>24.381</v>
      </c>
      <c r="T12" s="77"/>
      <c r="U12" s="20" t="s">
        <v>89</v>
      </c>
      <c r="V12" s="72"/>
      <c r="W12" s="11">
        <v>63.167685044561388</v>
      </c>
      <c r="X12" s="11">
        <v>102.23790854949686</v>
      </c>
      <c r="Y12" s="11">
        <v>73.442999999999998</v>
      </c>
      <c r="Z12" s="11">
        <v>75.013000000000005</v>
      </c>
      <c r="AA12" s="11">
        <v>84.460999999999999</v>
      </c>
      <c r="AB12" s="11">
        <v>113.432</v>
      </c>
      <c r="AC12" s="11">
        <v>140.47</v>
      </c>
      <c r="AD12" s="11">
        <v>178.779</v>
      </c>
      <c r="AE12" s="11">
        <v>214.785</v>
      </c>
      <c r="AF12" s="11">
        <v>224.80500000000001</v>
      </c>
      <c r="AG12" s="11">
        <v>294.30200000000002</v>
      </c>
      <c r="AH12" s="11">
        <v>359.30099999999999</v>
      </c>
      <c r="AI12" s="11">
        <v>444.25799999999998</v>
      </c>
      <c r="AJ12" s="11">
        <v>442.53100000000001</v>
      </c>
      <c r="AK12" s="11">
        <v>319.70800000000003</v>
      </c>
      <c r="AL12" s="11">
        <v>345.64699999999999</v>
      </c>
      <c r="AM12" s="11">
        <v>382.64400000000001</v>
      </c>
      <c r="AN12" s="21">
        <v>572.29100000000005</v>
      </c>
    </row>
    <row r="13" spans="1:40" ht="14.25" customHeight="1" x14ac:dyDescent="0.3">
      <c r="A13" s="2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48"/>
      <c r="Q13" s="11"/>
      <c r="R13" s="11"/>
      <c r="S13" s="21"/>
      <c r="T13" s="56"/>
      <c r="U13" s="20" t="s">
        <v>90</v>
      </c>
      <c r="V13" s="72"/>
      <c r="W13" s="11">
        <v>26.227393440334492</v>
      </c>
      <c r="X13" s="11">
        <v>-34.766630842638328</v>
      </c>
      <c r="Y13" s="11">
        <v>-12.553000000000001</v>
      </c>
      <c r="Z13" s="11">
        <v>4.5739999999999998</v>
      </c>
      <c r="AA13" s="11">
        <v>59.494999999999997</v>
      </c>
      <c r="AB13" s="11">
        <v>32.758000000000003</v>
      </c>
      <c r="AC13" s="11">
        <v>40.914000000000001</v>
      </c>
      <c r="AD13" s="11">
        <v>45.362000000000002</v>
      </c>
      <c r="AE13" s="11">
        <v>16.044</v>
      </c>
      <c r="AF13" s="11">
        <v>72.974999999999994</v>
      </c>
      <c r="AG13" s="11">
        <v>101.508</v>
      </c>
      <c r="AH13" s="11">
        <v>66.459000000000003</v>
      </c>
      <c r="AI13" s="11">
        <v>7.1779999999999999</v>
      </c>
      <c r="AJ13" s="11">
        <v>-55.207999999999998</v>
      </c>
      <c r="AK13" s="11">
        <v>50.103999999999999</v>
      </c>
      <c r="AL13" s="11">
        <v>96.86</v>
      </c>
      <c r="AM13" s="11">
        <v>207.07599999999999</v>
      </c>
      <c r="AN13" s="21">
        <v>181.73</v>
      </c>
    </row>
    <row r="14" spans="1:40" ht="14.25" customHeight="1" x14ac:dyDescent="0.3">
      <c r="A14" s="20" t="s">
        <v>57</v>
      </c>
      <c r="B14" s="11">
        <f t="shared" ref="B14:G14" si="15">SUM(B15:B20)</f>
        <v>2922.6456633584103</v>
      </c>
      <c r="C14" s="11">
        <f t="shared" si="15"/>
        <v>2995.844749088842</v>
      </c>
      <c r="D14" s="11">
        <f t="shared" si="15"/>
        <v>3029.0390000000002</v>
      </c>
      <c r="E14" s="11">
        <f t="shared" si="15"/>
        <v>3137.1759999999995</v>
      </c>
      <c r="F14" s="11">
        <f t="shared" si="15"/>
        <v>3257.817</v>
      </c>
      <c r="G14" s="11">
        <f t="shared" si="15"/>
        <v>3368.8409999999994</v>
      </c>
      <c r="H14" s="11">
        <f t="shared" ref="H14:M14" si="16">SUM(H15:H20)</f>
        <v>3507.5129999999999</v>
      </c>
      <c r="I14" s="11">
        <f t="shared" si="16"/>
        <v>3746.3669999999997</v>
      </c>
      <c r="J14" s="11">
        <f t="shared" si="16"/>
        <v>3873.0810000000001</v>
      </c>
      <c r="K14" s="11">
        <f t="shared" si="16"/>
        <v>4038.355</v>
      </c>
      <c r="L14" s="11">
        <f t="shared" si="16"/>
        <v>4110.1069999999991</v>
      </c>
      <c r="M14" s="11">
        <f t="shared" si="16"/>
        <v>5845.9000000000005</v>
      </c>
      <c r="N14" s="11">
        <f t="shared" ref="N14:O14" si="17">SUM(N15:N20)</f>
        <v>6027.5420000000004</v>
      </c>
      <c r="O14" s="11">
        <f t="shared" si="17"/>
        <v>6192.87</v>
      </c>
      <c r="P14" s="48">
        <f t="shared" ref="P14:Q14" si="18">SUM(P15:P20)</f>
        <v>6377.8040000000001</v>
      </c>
      <c r="Q14" s="11">
        <f t="shared" si="18"/>
        <v>6516.2789999999995</v>
      </c>
      <c r="R14" s="11">
        <f t="shared" ref="R14:S14" si="19">SUM(R15:R20)</f>
        <v>6596.82</v>
      </c>
      <c r="S14" s="21">
        <f t="shared" si="19"/>
        <v>6813.3739999999998</v>
      </c>
      <c r="T14" s="77"/>
      <c r="U14" s="24"/>
      <c r="V14" s="7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25"/>
    </row>
    <row r="15" spans="1:40" ht="14.25" customHeight="1" x14ac:dyDescent="0.3">
      <c r="A15" s="22" t="s">
        <v>50</v>
      </c>
      <c r="B15" s="12">
        <v>119.24036241134394</v>
      </c>
      <c r="C15" s="12">
        <v>120.99557161189627</v>
      </c>
      <c r="D15" s="12">
        <v>121.402</v>
      </c>
      <c r="E15" s="12">
        <v>123.852</v>
      </c>
      <c r="F15" s="12">
        <f>124.49</f>
        <v>124.49</v>
      </c>
      <c r="G15" s="12">
        <v>124.16200000000001</v>
      </c>
      <c r="H15" s="12">
        <v>119.854</v>
      </c>
      <c r="I15" s="12">
        <v>118.90900000000001</v>
      </c>
      <c r="J15" s="12">
        <v>116.63200000000001</v>
      </c>
      <c r="K15" s="12">
        <v>117.06699999999999</v>
      </c>
      <c r="L15" s="12">
        <v>114.383</v>
      </c>
      <c r="M15" s="12">
        <v>115.145</v>
      </c>
      <c r="N15" s="12">
        <v>118.15600000000001</v>
      </c>
      <c r="O15" s="12">
        <v>119.774</v>
      </c>
      <c r="P15" s="55">
        <v>122.58199999999999</v>
      </c>
      <c r="Q15" s="12">
        <v>127.855</v>
      </c>
      <c r="R15" s="12">
        <v>134.34100000000001</v>
      </c>
      <c r="S15" s="28">
        <v>148.80000000000001</v>
      </c>
      <c r="T15" s="77"/>
      <c r="U15" s="18" t="s">
        <v>91</v>
      </c>
      <c r="V15" s="71"/>
      <c r="W15" s="10">
        <f t="shared" ref="W15:AB15" si="20">W16+W17</f>
        <v>127.82736518476284</v>
      </c>
      <c r="X15" s="10">
        <f t="shared" si="20"/>
        <v>144.55163621624257</v>
      </c>
      <c r="Y15" s="10">
        <f t="shared" si="20"/>
        <v>159.57</v>
      </c>
      <c r="Z15" s="10">
        <f t="shared" si="20"/>
        <v>187.96299999999999</v>
      </c>
      <c r="AA15" s="10">
        <f t="shared" si="20"/>
        <v>208.00900000000001</v>
      </c>
      <c r="AB15" s="10">
        <f t="shared" si="20"/>
        <v>218.41</v>
      </c>
      <c r="AC15" s="10">
        <f t="shared" ref="AC15:AH15" si="21">AC16+AC17</f>
        <v>221.77100000000002</v>
      </c>
      <c r="AD15" s="10">
        <f t="shared" si="21"/>
        <v>236.70500000000001</v>
      </c>
      <c r="AE15" s="10">
        <f t="shared" si="21"/>
        <v>249.59700000000001</v>
      </c>
      <c r="AF15" s="10">
        <f t="shared" si="21"/>
        <v>281.93200000000002</v>
      </c>
      <c r="AG15" s="10">
        <f t="shared" si="21"/>
        <v>296.714</v>
      </c>
      <c r="AH15" s="10">
        <f t="shared" si="21"/>
        <v>322.69400000000002</v>
      </c>
      <c r="AI15" s="10">
        <f t="shared" ref="AI15:AJ15" si="22">AI16+AI17</f>
        <v>329.61099999999999</v>
      </c>
      <c r="AJ15" s="10">
        <f t="shared" si="22"/>
        <v>332.15800000000002</v>
      </c>
      <c r="AK15" s="10">
        <f t="shared" ref="AK15:AL15" si="23">AK16+AK17</f>
        <v>337.81799999999998</v>
      </c>
      <c r="AL15" s="10">
        <f t="shared" si="23"/>
        <v>332.85300000000001</v>
      </c>
      <c r="AM15" s="10">
        <f t="shared" ref="AM15:AN15" si="24">AM16+AM17</f>
        <v>340.84899999999999</v>
      </c>
      <c r="AN15" s="19">
        <f t="shared" si="24"/>
        <v>332.596</v>
      </c>
    </row>
    <row r="16" spans="1:40" ht="14.25" customHeight="1" x14ac:dyDescent="0.3">
      <c r="A16" s="22" t="s">
        <v>51</v>
      </c>
      <c r="B16" s="12">
        <v>2350.1348026230589</v>
      </c>
      <c r="C16" s="12">
        <v>2395.3386716181194</v>
      </c>
      <c r="D16" s="12">
        <v>2389.4780000000001</v>
      </c>
      <c r="E16" s="12">
        <v>2422.819</v>
      </c>
      <c r="F16" s="12">
        <v>2509.7570000000001</v>
      </c>
      <c r="G16" s="12">
        <v>2560.491</v>
      </c>
      <c r="H16" s="12">
        <v>2603.5839999999998</v>
      </c>
      <c r="I16" s="12">
        <v>2703.4369999999999</v>
      </c>
      <c r="J16" s="12">
        <v>2889.4140000000002</v>
      </c>
      <c r="K16" s="12">
        <v>2943.4070000000002</v>
      </c>
      <c r="L16" s="12">
        <v>3005.7869999999998</v>
      </c>
      <c r="M16" s="12">
        <v>3260.7080000000001</v>
      </c>
      <c r="N16" s="12">
        <v>3353.0889999999999</v>
      </c>
      <c r="O16" s="12">
        <v>3343.848</v>
      </c>
      <c r="P16" s="55">
        <v>3572.0329999999999</v>
      </c>
      <c r="Q16" s="12">
        <v>3581.4409999999998</v>
      </c>
      <c r="R16" s="12">
        <v>3798.49</v>
      </c>
      <c r="S16" s="28">
        <v>3762</v>
      </c>
      <c r="T16" s="77"/>
      <c r="U16" s="24" t="s">
        <v>92</v>
      </c>
      <c r="V16" s="73"/>
      <c r="W16" s="11">
        <v>51.47896053133929</v>
      </c>
      <c r="X16" s="11">
        <v>70.713772741110006</v>
      </c>
      <c r="Y16" s="11">
        <v>89.361999999999995</v>
      </c>
      <c r="Z16" s="11">
        <v>100.654</v>
      </c>
      <c r="AA16" s="11">
        <v>113.717</v>
      </c>
      <c r="AB16" s="11">
        <v>127.896</v>
      </c>
      <c r="AC16" s="11">
        <v>133.804</v>
      </c>
      <c r="AD16" s="11">
        <v>148.08000000000001</v>
      </c>
      <c r="AE16" s="11">
        <v>156.01300000000001</v>
      </c>
      <c r="AF16" s="11">
        <v>172.71</v>
      </c>
      <c r="AG16" s="11">
        <v>183.92699999999999</v>
      </c>
      <c r="AH16" s="11">
        <v>198.72</v>
      </c>
      <c r="AI16" s="11">
        <v>222.709</v>
      </c>
      <c r="AJ16" s="11">
        <v>230.51300000000001</v>
      </c>
      <c r="AK16" s="11">
        <v>249.15799999999999</v>
      </c>
      <c r="AL16" s="11">
        <v>255.93799999999999</v>
      </c>
      <c r="AM16" s="11">
        <v>262.87599999999998</v>
      </c>
      <c r="AN16" s="21">
        <v>267.233</v>
      </c>
    </row>
    <row r="17" spans="1:40" ht="14.25" customHeight="1" x14ac:dyDescent="0.3">
      <c r="A17" s="22" t="s">
        <v>52</v>
      </c>
      <c r="B17" s="12">
        <v>121.47406626267926</v>
      </c>
      <c r="C17" s="12">
        <v>134.08782437143967</v>
      </c>
      <c r="D17" s="12">
        <v>138.99299999999999</v>
      </c>
      <c r="E17" s="12">
        <v>153.15199999999999</v>
      </c>
      <c r="F17" s="12">
        <f>145.605</f>
        <v>145.60499999999999</v>
      </c>
      <c r="G17" s="12">
        <v>158.83600000000001</v>
      </c>
      <c r="H17" s="12">
        <v>164.24</v>
      </c>
      <c r="I17" s="12">
        <v>165.52199999999999</v>
      </c>
      <c r="J17" s="12">
        <v>214.16499999999999</v>
      </c>
      <c r="K17" s="12">
        <v>218.43700000000001</v>
      </c>
      <c r="L17" s="12">
        <v>261.863</v>
      </c>
      <c r="M17" s="12">
        <v>1707.4849999999999</v>
      </c>
      <c r="N17" s="12">
        <v>1748.3520000000001</v>
      </c>
      <c r="O17" s="12">
        <v>1762.914</v>
      </c>
      <c r="P17" s="55">
        <v>1790.296</v>
      </c>
      <c r="Q17" s="12">
        <v>1804.835</v>
      </c>
      <c r="R17" s="12">
        <v>1870.2070000000001</v>
      </c>
      <c r="S17" s="28">
        <v>1900.9280000000001</v>
      </c>
      <c r="T17" s="77"/>
      <c r="U17" s="83" t="s">
        <v>93</v>
      </c>
      <c r="V17" s="73"/>
      <c r="W17" s="14">
        <v>76.348404653423543</v>
      </c>
      <c r="X17" s="14">
        <v>73.837863475132565</v>
      </c>
      <c r="Y17" s="14">
        <v>70.207999999999998</v>
      </c>
      <c r="Z17" s="14">
        <v>87.308999999999997</v>
      </c>
      <c r="AA17" s="14">
        <v>94.292000000000002</v>
      </c>
      <c r="AB17" s="14">
        <v>90.513999999999996</v>
      </c>
      <c r="AC17" s="14">
        <v>87.966999999999999</v>
      </c>
      <c r="AD17" s="14">
        <v>88.625</v>
      </c>
      <c r="AE17" s="14">
        <v>93.584000000000003</v>
      </c>
      <c r="AF17" s="14">
        <v>109.22199999999999</v>
      </c>
      <c r="AG17" s="14">
        <v>112.78700000000001</v>
      </c>
      <c r="AH17" s="14">
        <v>123.974</v>
      </c>
      <c r="AI17" s="14">
        <v>106.902</v>
      </c>
      <c r="AJ17" s="14">
        <v>101.645</v>
      </c>
      <c r="AK17" s="14">
        <v>88.66</v>
      </c>
      <c r="AL17" s="14">
        <v>76.915000000000006</v>
      </c>
      <c r="AM17" s="14">
        <v>77.972999999999999</v>
      </c>
      <c r="AN17" s="25">
        <v>65.363</v>
      </c>
    </row>
    <row r="18" spans="1:40" ht="14.25" customHeight="1" x14ac:dyDescent="0.3">
      <c r="A18" s="22" t="s">
        <v>53</v>
      </c>
      <c r="B18" s="12">
        <v>249.3369190999255</v>
      </c>
      <c r="C18" s="12">
        <v>281.09517250194676</v>
      </c>
      <c r="D18" s="12">
        <v>304.90600000000001</v>
      </c>
      <c r="E18" s="12">
        <v>326.42099999999999</v>
      </c>
      <c r="F18" s="12">
        <v>360.536</v>
      </c>
      <c r="G18" s="12">
        <v>374.767</v>
      </c>
      <c r="H18" s="12">
        <v>395.67399999999998</v>
      </c>
      <c r="I18" s="12">
        <v>414.34500000000003</v>
      </c>
      <c r="J18" s="12">
        <v>437.67599999999999</v>
      </c>
      <c r="K18" s="12">
        <v>442.815</v>
      </c>
      <c r="L18" s="12">
        <v>428.06400000000002</v>
      </c>
      <c r="M18" s="12">
        <v>444.60899999999998</v>
      </c>
      <c r="N18" s="12">
        <v>449.73399999999998</v>
      </c>
      <c r="O18" s="12">
        <v>468.21499999999997</v>
      </c>
      <c r="P18" s="55">
        <v>494.52800000000002</v>
      </c>
      <c r="Q18" s="12">
        <v>484.94499999999999</v>
      </c>
      <c r="R18" s="12">
        <v>497.13600000000002</v>
      </c>
      <c r="S18" s="28">
        <v>493.39400000000001</v>
      </c>
      <c r="T18" s="77"/>
      <c r="U18" s="87"/>
      <c r="V18" s="73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25"/>
    </row>
    <row r="19" spans="1:40" ht="14.25" customHeight="1" x14ac:dyDescent="0.3">
      <c r="A19" s="22" t="s">
        <v>54</v>
      </c>
      <c r="B19" s="12">
        <v>2.5569610459943521</v>
      </c>
      <c r="C19" s="12">
        <v>2.4380521819860639</v>
      </c>
      <c r="D19" s="12">
        <v>2.5009999999999999</v>
      </c>
      <c r="E19" s="12">
        <v>2.5350000000000001</v>
      </c>
      <c r="F19" s="12">
        <v>2.5779999999999998</v>
      </c>
      <c r="G19" s="12">
        <v>2.7429999999999999</v>
      </c>
      <c r="H19" s="12">
        <v>2.718</v>
      </c>
      <c r="I19" s="12">
        <v>2.8809999999999998</v>
      </c>
      <c r="J19" s="12">
        <v>3.0720000000000001</v>
      </c>
      <c r="K19" s="12">
        <v>2.8769999999999998</v>
      </c>
      <c r="L19" s="12">
        <v>2.9129999999999998</v>
      </c>
      <c r="M19" s="12">
        <v>2.907</v>
      </c>
      <c r="N19" s="12">
        <v>3.0179999999999998</v>
      </c>
      <c r="O19" s="12">
        <v>3.0539999999999998</v>
      </c>
      <c r="P19" s="55">
        <v>3.133</v>
      </c>
      <c r="Q19" s="12">
        <v>3.8450000000000002</v>
      </c>
      <c r="R19" s="12">
        <v>5.7050000000000001</v>
      </c>
      <c r="S19" s="28">
        <v>3.7090000000000001</v>
      </c>
      <c r="T19" s="77"/>
      <c r="U19" s="89" t="s">
        <v>94</v>
      </c>
      <c r="V19" s="71"/>
      <c r="W19" s="16">
        <v>74.401124840852177</v>
      </c>
      <c r="X19" s="16">
        <f t="shared" ref="X19:AC19" si="25">X20+X21</f>
        <v>103.65960109187601</v>
      </c>
      <c r="Y19" s="16">
        <f t="shared" si="25"/>
        <v>112.014</v>
      </c>
      <c r="Z19" s="16">
        <f t="shared" si="25"/>
        <v>120.997</v>
      </c>
      <c r="AA19" s="16">
        <f t="shared" si="25"/>
        <v>132.06399999999999</v>
      </c>
      <c r="AB19" s="16">
        <f t="shared" si="25"/>
        <v>144.83800000000002</v>
      </c>
      <c r="AC19" s="16">
        <f t="shared" si="25"/>
        <v>145.93199999999999</v>
      </c>
      <c r="AD19" s="16">
        <f t="shared" ref="AD19:AI19" si="26">AD20+AD21</f>
        <v>159.345</v>
      </c>
      <c r="AE19" s="16">
        <f t="shared" si="26"/>
        <v>166.911</v>
      </c>
      <c r="AF19" s="16">
        <f t="shared" si="26"/>
        <v>178.12400000000002</v>
      </c>
      <c r="AG19" s="16">
        <f t="shared" si="26"/>
        <v>174.83799999999999</v>
      </c>
      <c r="AH19" s="16">
        <f t="shared" si="26"/>
        <v>170.99800000000002</v>
      </c>
      <c r="AI19" s="16">
        <f t="shared" si="26"/>
        <v>178.53100000000001</v>
      </c>
      <c r="AJ19" s="16">
        <f t="shared" ref="AJ19:AK19" si="27">AJ20+AJ21</f>
        <v>191.696</v>
      </c>
      <c r="AK19" s="16">
        <f t="shared" si="27"/>
        <v>221.553</v>
      </c>
      <c r="AL19" s="16">
        <f t="shared" ref="AL19:AM19" si="28">AL20+AL21</f>
        <v>291.83300000000003</v>
      </c>
      <c r="AM19" s="16">
        <f t="shared" si="28"/>
        <v>310.16199999999998</v>
      </c>
      <c r="AN19" s="30">
        <f t="shared" ref="AN19" si="29">AN20+AN21</f>
        <v>327.166</v>
      </c>
    </row>
    <row r="20" spans="1:40" ht="14.25" customHeight="1" x14ac:dyDescent="0.3">
      <c r="A20" s="22" t="s">
        <v>55</v>
      </c>
      <c r="B20" s="12">
        <v>79.902551915408196</v>
      </c>
      <c r="C20" s="12">
        <v>61.889456803453903</v>
      </c>
      <c r="D20" s="12">
        <v>71.759</v>
      </c>
      <c r="E20" s="12">
        <v>108.39700000000001</v>
      </c>
      <c r="F20" s="12">
        <v>114.851</v>
      </c>
      <c r="G20" s="12">
        <v>147.84200000000001</v>
      </c>
      <c r="H20" s="12">
        <v>221.44300000000001</v>
      </c>
      <c r="I20" s="12">
        <v>341.27300000000002</v>
      </c>
      <c r="J20" s="12">
        <v>212.12200000000001</v>
      </c>
      <c r="K20" s="12">
        <v>313.75200000000001</v>
      </c>
      <c r="L20" s="12">
        <v>297.09699999999998</v>
      </c>
      <c r="M20" s="12">
        <v>315.04599999999999</v>
      </c>
      <c r="N20" s="12">
        <v>355.19299999999998</v>
      </c>
      <c r="O20" s="12">
        <v>495.065</v>
      </c>
      <c r="P20" s="55">
        <v>395.23200000000003</v>
      </c>
      <c r="Q20" s="12">
        <v>513.35799999999995</v>
      </c>
      <c r="R20" s="12">
        <v>290.94099999999997</v>
      </c>
      <c r="S20" s="28">
        <v>504.54300000000001</v>
      </c>
      <c r="T20" s="56"/>
      <c r="U20" s="92" t="s">
        <v>95</v>
      </c>
      <c r="V20" s="72"/>
      <c r="W20" s="11"/>
      <c r="X20" s="11">
        <v>15.170550966828296</v>
      </c>
      <c r="Y20" s="11">
        <v>14.994</v>
      </c>
      <c r="Z20" s="11">
        <v>12.94</v>
      </c>
      <c r="AA20" s="11">
        <v>11.791</v>
      </c>
      <c r="AB20" s="11">
        <v>11.896000000000001</v>
      </c>
      <c r="AC20" s="11">
        <v>10.297000000000001</v>
      </c>
      <c r="AD20" s="11">
        <v>9.0050000000000008</v>
      </c>
      <c r="AE20" s="11">
        <v>8.1859999999999999</v>
      </c>
      <c r="AF20" s="11">
        <v>7.33</v>
      </c>
      <c r="AG20" s="11">
        <v>5.7670000000000003</v>
      </c>
      <c r="AH20" s="11">
        <v>5.2220000000000004</v>
      </c>
      <c r="AI20" s="11">
        <v>4.4480000000000004</v>
      </c>
      <c r="AJ20" s="11">
        <v>4.1970000000000001</v>
      </c>
      <c r="AK20" s="11">
        <v>3.54</v>
      </c>
      <c r="AL20" s="11">
        <v>3.4390000000000001</v>
      </c>
      <c r="AM20" s="11">
        <v>2.4380000000000002</v>
      </c>
      <c r="AN20" s="21">
        <v>1.843</v>
      </c>
    </row>
    <row r="21" spans="1:40" ht="14.25" customHeight="1" x14ac:dyDescent="0.3">
      <c r="A21" s="2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50"/>
      <c r="Q21" s="14"/>
      <c r="R21" s="14"/>
      <c r="S21" s="25"/>
      <c r="T21" s="56"/>
      <c r="U21" s="87" t="s">
        <v>96</v>
      </c>
      <c r="V21" s="73"/>
      <c r="W21" s="14"/>
      <c r="X21" s="14">
        <v>88.489050125047712</v>
      </c>
      <c r="Y21" s="14">
        <v>97.02</v>
      </c>
      <c r="Z21" s="14">
        <v>108.057</v>
      </c>
      <c r="AA21" s="14">
        <v>120.273</v>
      </c>
      <c r="AB21" s="14">
        <f>132.942</f>
        <v>132.94200000000001</v>
      </c>
      <c r="AC21" s="14">
        <v>135.63499999999999</v>
      </c>
      <c r="AD21" s="14">
        <v>150.34</v>
      </c>
      <c r="AE21" s="14">
        <v>158.72499999999999</v>
      </c>
      <c r="AF21" s="14">
        <v>170.79400000000001</v>
      </c>
      <c r="AG21" s="14">
        <v>169.071</v>
      </c>
      <c r="AH21" s="14">
        <v>165.77600000000001</v>
      </c>
      <c r="AI21" s="14">
        <v>174.083</v>
      </c>
      <c r="AJ21" s="14">
        <v>187.499</v>
      </c>
      <c r="AK21" s="14">
        <v>218.01300000000001</v>
      </c>
      <c r="AL21" s="14">
        <v>288.39400000000001</v>
      </c>
      <c r="AM21" s="14">
        <v>307.72399999999999</v>
      </c>
      <c r="AN21" s="25">
        <v>325.32299999999998</v>
      </c>
    </row>
    <row r="22" spans="1:40" ht="14.25" customHeight="1" x14ac:dyDescent="0.3">
      <c r="A22" s="20" t="s">
        <v>56</v>
      </c>
      <c r="B22" s="11">
        <f t="shared" ref="B22:G22" si="30">SUM(B23:B26)</f>
        <v>175.61190972344858</v>
      </c>
      <c r="C22" s="11">
        <f t="shared" si="30"/>
        <v>150.51709377990591</v>
      </c>
      <c r="D22" s="11">
        <f t="shared" si="30"/>
        <v>168.23199999999997</v>
      </c>
      <c r="E22" s="11">
        <f t="shared" si="30"/>
        <v>188.68599999999998</v>
      </c>
      <c r="F22" s="11">
        <f t="shared" si="30"/>
        <v>183.49599999999998</v>
      </c>
      <c r="G22" s="11">
        <f t="shared" si="30"/>
        <v>188.45099999999996</v>
      </c>
      <c r="H22" s="11">
        <f t="shared" ref="H22:M22" si="31">SUM(H23:H26)</f>
        <v>192.06199999999998</v>
      </c>
      <c r="I22" s="11">
        <f t="shared" si="31"/>
        <v>189.5</v>
      </c>
      <c r="J22" s="11">
        <f t="shared" si="31"/>
        <v>208.99100000000001</v>
      </c>
      <c r="K22" s="11">
        <f t="shared" si="31"/>
        <v>218.70200000000003</v>
      </c>
      <c r="L22" s="11">
        <f t="shared" si="31"/>
        <v>264.84300000000002</v>
      </c>
      <c r="M22" s="11">
        <f t="shared" si="31"/>
        <v>468.755</v>
      </c>
      <c r="N22" s="11">
        <f t="shared" ref="N22:O22" si="32">SUM(N23:N26)</f>
        <v>534.84500000000003</v>
      </c>
      <c r="O22" s="11">
        <f t="shared" si="32"/>
        <v>568.81200000000013</v>
      </c>
      <c r="P22" s="48">
        <f t="shared" ref="P22:Q22" si="33">SUM(P23:P26)</f>
        <v>524.53899999999999</v>
      </c>
      <c r="Q22" s="11">
        <f t="shared" si="33"/>
        <v>531.20499999999993</v>
      </c>
      <c r="R22" s="11">
        <f t="shared" ref="R22:S22" si="34">SUM(R23:R26)</f>
        <v>543.64300000000003</v>
      </c>
      <c r="S22" s="21">
        <f t="shared" si="34"/>
        <v>547.59299999999996</v>
      </c>
      <c r="T22" s="56"/>
      <c r="U22" s="87"/>
      <c r="V22" s="73"/>
      <c r="W22" s="37"/>
      <c r="X22" s="37"/>
      <c r="Y22" s="37"/>
      <c r="Z22" s="37"/>
      <c r="AA22" s="37"/>
      <c r="AB22" s="37"/>
      <c r="AC22" s="37"/>
      <c r="AD22" s="37"/>
      <c r="AE22" s="37"/>
      <c r="AF22" s="14"/>
      <c r="AG22" s="14"/>
      <c r="AH22" s="14"/>
      <c r="AI22" s="14"/>
      <c r="AJ22" s="14"/>
      <c r="AK22" s="14"/>
      <c r="AL22" s="14"/>
      <c r="AM22" s="14"/>
      <c r="AN22" s="25"/>
    </row>
    <row r="23" spans="1:40" ht="14.25" customHeight="1" x14ac:dyDescent="0.3">
      <c r="A23" s="22" t="s">
        <v>59</v>
      </c>
      <c r="B23" s="12">
        <v>115.07838398312738</v>
      </c>
      <c r="C23" s="12">
        <v>123.26661318290604</v>
      </c>
      <c r="D23" s="12">
        <v>152.215</v>
      </c>
      <c r="E23" s="12">
        <v>164.77099999999999</v>
      </c>
      <c r="F23" s="12">
        <v>160.63300000000001</v>
      </c>
      <c r="G23" s="12">
        <v>164.90199999999999</v>
      </c>
      <c r="H23" s="12">
        <v>168.875</v>
      </c>
      <c r="I23" s="12">
        <v>167.91800000000001</v>
      </c>
      <c r="J23" s="12">
        <v>190.74299999999999</v>
      </c>
      <c r="K23" s="12">
        <v>197.995</v>
      </c>
      <c r="L23" s="12">
        <v>231.88</v>
      </c>
      <c r="M23" s="12">
        <v>418.10599999999999</v>
      </c>
      <c r="N23" s="12">
        <v>451.089</v>
      </c>
      <c r="O23" s="12">
        <v>492.93700000000001</v>
      </c>
      <c r="P23" s="55">
        <v>445.166</v>
      </c>
      <c r="Q23" s="12">
        <v>450.50599999999997</v>
      </c>
      <c r="R23" s="12">
        <v>445.33600000000001</v>
      </c>
      <c r="S23" s="28">
        <v>444.91</v>
      </c>
      <c r="T23" s="56"/>
      <c r="U23" s="96" t="s">
        <v>97</v>
      </c>
      <c r="V23" s="74"/>
      <c r="W23" s="16">
        <f t="shared" ref="W23:AB23" si="35">W24+W25+W26</f>
        <v>85.438625702815301</v>
      </c>
      <c r="X23" s="16">
        <f t="shared" si="35"/>
        <v>67.012124667618608</v>
      </c>
      <c r="Y23" s="16">
        <f t="shared" si="35"/>
        <v>56.009000000000007</v>
      </c>
      <c r="Z23" s="16">
        <f t="shared" si="35"/>
        <v>86.881999999999991</v>
      </c>
      <c r="AA23" s="16">
        <f t="shared" si="35"/>
        <v>93.466000000000008</v>
      </c>
      <c r="AB23" s="16">
        <f t="shared" si="35"/>
        <v>110.938</v>
      </c>
      <c r="AC23" s="16">
        <f t="shared" ref="AC23:AH23" si="36">AC24+AC25+AC26</f>
        <v>125.86200000000001</v>
      </c>
      <c r="AD23" s="16">
        <f t="shared" si="36"/>
        <v>131.66</v>
      </c>
      <c r="AE23" s="16">
        <f t="shared" si="36"/>
        <v>111.741</v>
      </c>
      <c r="AF23" s="16">
        <f t="shared" si="36"/>
        <v>139.87</v>
      </c>
      <c r="AG23" s="16">
        <f t="shared" si="36"/>
        <v>158.22399999999999</v>
      </c>
      <c r="AH23" s="16">
        <f t="shared" si="36"/>
        <v>159.423</v>
      </c>
      <c r="AI23" s="16">
        <f t="shared" ref="AI23:AJ23" si="37">AI24+AI25+AI26</f>
        <v>174.864</v>
      </c>
      <c r="AJ23" s="16">
        <f t="shared" si="37"/>
        <v>211.24400000000003</v>
      </c>
      <c r="AK23" s="16">
        <f t="shared" ref="AK23:AL23" si="38">AK24+AK25+AK26</f>
        <v>193.72900000000001</v>
      </c>
      <c r="AL23" s="16">
        <f t="shared" si="38"/>
        <v>121.25099999999999</v>
      </c>
      <c r="AM23" s="16">
        <f t="shared" ref="AM23:AN23" si="39">AM24+AM25+AM26</f>
        <v>92.49</v>
      </c>
      <c r="AN23" s="30">
        <f t="shared" si="39"/>
        <v>101.03</v>
      </c>
    </row>
    <row r="24" spans="1:40" ht="14.25" customHeight="1" x14ac:dyDescent="0.3">
      <c r="A24" s="22" t="s">
        <v>60</v>
      </c>
      <c r="B24" s="12">
        <v>1.3396168342659354</v>
      </c>
      <c r="C24" s="12">
        <v>1.3012699870327109</v>
      </c>
      <c r="D24" s="12">
        <v>1.3009999999999999</v>
      </c>
      <c r="E24" s="12">
        <v>1.3009999999999999</v>
      </c>
      <c r="F24" s="12">
        <v>2.3010000000000002</v>
      </c>
      <c r="G24" s="12">
        <v>1.177</v>
      </c>
      <c r="H24" s="12">
        <v>1</v>
      </c>
      <c r="I24" s="12">
        <v>2</v>
      </c>
      <c r="J24" s="12">
        <v>0.65</v>
      </c>
      <c r="K24" s="12">
        <v>1.65</v>
      </c>
      <c r="L24" s="12">
        <v>0</v>
      </c>
      <c r="M24" s="12">
        <v>0.2</v>
      </c>
      <c r="N24" s="12">
        <v>0.1</v>
      </c>
      <c r="O24" s="12">
        <v>0.1</v>
      </c>
      <c r="P24" s="55">
        <v>0.1</v>
      </c>
      <c r="Q24" s="12">
        <v>0</v>
      </c>
      <c r="R24" s="12">
        <v>3.6999999999999998E-2</v>
      </c>
      <c r="S24" s="28">
        <v>6.0000000000000001E-3</v>
      </c>
      <c r="T24" s="56"/>
      <c r="U24" s="87" t="s">
        <v>98</v>
      </c>
      <c r="V24" s="73"/>
      <c r="W24" s="14">
        <v>65.489351181436092</v>
      </c>
      <c r="X24" s="14">
        <v>47.27745794040429</v>
      </c>
      <c r="Y24" s="14">
        <v>40.499000000000002</v>
      </c>
      <c r="Z24" s="14">
        <v>66.872</v>
      </c>
      <c r="AA24" s="14">
        <v>72.808999999999997</v>
      </c>
      <c r="AB24" s="14">
        <v>89.304000000000002</v>
      </c>
      <c r="AC24" s="14">
        <v>99.891999999999996</v>
      </c>
      <c r="AD24" s="14">
        <v>101.77200000000001</v>
      </c>
      <c r="AE24" s="14">
        <v>80.561000000000007</v>
      </c>
      <c r="AF24" s="14">
        <v>109.14400000000001</v>
      </c>
      <c r="AG24" s="14">
        <v>131.02799999999999</v>
      </c>
      <c r="AH24" s="14">
        <v>133.637</v>
      </c>
      <c r="AI24" s="14">
        <v>144.642</v>
      </c>
      <c r="AJ24" s="14">
        <v>161.37700000000001</v>
      </c>
      <c r="AK24" s="14">
        <v>142.56399999999999</v>
      </c>
      <c r="AL24" s="14">
        <v>84.713999999999999</v>
      </c>
      <c r="AM24" s="14">
        <v>61.186999999999998</v>
      </c>
      <c r="AN24" s="25">
        <v>66.787000000000006</v>
      </c>
    </row>
    <row r="25" spans="1:40" ht="14.25" customHeight="1" x14ac:dyDescent="0.3">
      <c r="A25" s="22" t="s">
        <v>61</v>
      </c>
      <c r="B25" s="12">
        <v>37.095360872424408</v>
      </c>
      <c r="C25" s="12">
        <v>13.945806486335572</v>
      </c>
      <c r="D25" s="12">
        <v>12.433</v>
      </c>
      <c r="E25" s="12">
        <v>20.977</v>
      </c>
      <c r="F25" s="12">
        <v>19.081</v>
      </c>
      <c r="G25" s="12">
        <v>19.308</v>
      </c>
      <c r="H25" s="12">
        <v>19.181999999999999</v>
      </c>
      <c r="I25" s="12">
        <v>17.445</v>
      </c>
      <c r="J25" s="12">
        <v>15.154999999999999</v>
      </c>
      <c r="K25" s="12">
        <v>16.327999999999999</v>
      </c>
      <c r="L25" s="12">
        <v>29.497</v>
      </c>
      <c r="M25" s="12">
        <v>47.051000000000002</v>
      </c>
      <c r="N25" s="12">
        <v>79.665999999999997</v>
      </c>
      <c r="O25" s="12">
        <v>70.930999999999997</v>
      </c>
      <c r="P25" s="55">
        <v>74.084000000000003</v>
      </c>
      <c r="Q25" s="12">
        <v>75.125</v>
      </c>
      <c r="R25" s="12">
        <v>92.555000000000007</v>
      </c>
      <c r="S25" s="28">
        <v>96.744</v>
      </c>
      <c r="T25" s="56"/>
      <c r="U25" s="87" t="s">
        <v>99</v>
      </c>
      <c r="V25" s="73"/>
      <c r="W25" s="14"/>
      <c r="X25" s="14">
        <v>5.4090919029286564</v>
      </c>
      <c r="Y25" s="14">
        <v>5.9009999999999998</v>
      </c>
      <c r="Z25" s="14">
        <v>6.4690000000000003</v>
      </c>
      <c r="AA25" s="14">
        <v>7.8970000000000002</v>
      </c>
      <c r="AB25" s="14">
        <v>8.7330000000000005</v>
      </c>
      <c r="AC25" s="14">
        <v>10.061</v>
      </c>
      <c r="AD25" s="14">
        <v>13.45</v>
      </c>
      <c r="AE25" s="14">
        <v>16.689</v>
      </c>
      <c r="AF25" s="14">
        <v>16.832999999999998</v>
      </c>
      <c r="AG25" s="14">
        <v>18.475999999999999</v>
      </c>
      <c r="AH25" s="14">
        <v>16.751000000000001</v>
      </c>
      <c r="AI25" s="14">
        <v>18.635999999999999</v>
      </c>
      <c r="AJ25" s="14">
        <v>17.513999999999999</v>
      </c>
      <c r="AK25" s="14">
        <v>19.503</v>
      </c>
      <c r="AL25" s="14">
        <v>19.91</v>
      </c>
      <c r="AM25" s="14">
        <v>21.922999999999998</v>
      </c>
      <c r="AN25" s="25">
        <v>18.616</v>
      </c>
    </row>
    <row r="26" spans="1:40" ht="14.25" customHeight="1" x14ac:dyDescent="0.3">
      <c r="A26" s="22" t="s">
        <v>62</v>
      </c>
      <c r="B26" s="12">
        <v>22.098548033630856</v>
      </c>
      <c r="C26" s="12">
        <v>12.003404123631581</v>
      </c>
      <c r="D26" s="12">
        <v>2.2829999999999999</v>
      </c>
      <c r="E26" s="12">
        <v>1.637</v>
      </c>
      <c r="F26" s="12">
        <v>1.4810000000000001</v>
      </c>
      <c r="G26" s="12">
        <v>3.0640000000000001</v>
      </c>
      <c r="H26" s="12">
        <v>3.0049999999999999</v>
      </c>
      <c r="I26" s="12">
        <v>2.137</v>
      </c>
      <c r="J26" s="12">
        <v>2.4430000000000001</v>
      </c>
      <c r="K26" s="12">
        <v>2.7290000000000001</v>
      </c>
      <c r="L26" s="12">
        <v>3.4660000000000002</v>
      </c>
      <c r="M26" s="12">
        <v>3.3980000000000001</v>
      </c>
      <c r="N26" s="12">
        <v>3.99</v>
      </c>
      <c r="O26" s="12">
        <v>4.8440000000000003</v>
      </c>
      <c r="P26" s="55">
        <v>5.1890000000000001</v>
      </c>
      <c r="Q26" s="12">
        <v>5.5739999999999998</v>
      </c>
      <c r="R26" s="12">
        <v>5.7149999999999999</v>
      </c>
      <c r="S26" s="28">
        <v>5.9329999999999998</v>
      </c>
      <c r="T26" s="56"/>
      <c r="U26" s="87" t="s">
        <v>100</v>
      </c>
      <c r="V26" s="73"/>
      <c r="W26" s="14">
        <v>19.949274521379209</v>
      </c>
      <c r="X26" s="14">
        <v>14.325574824285663</v>
      </c>
      <c r="Y26" s="14">
        <v>9.609</v>
      </c>
      <c r="Z26" s="14">
        <v>13.541</v>
      </c>
      <c r="AA26" s="14">
        <v>12.76</v>
      </c>
      <c r="AB26" s="14">
        <v>12.901</v>
      </c>
      <c r="AC26" s="14">
        <v>15.909000000000001</v>
      </c>
      <c r="AD26" s="14">
        <v>16.437999999999999</v>
      </c>
      <c r="AE26" s="14">
        <v>14.491</v>
      </c>
      <c r="AF26" s="14">
        <v>13.893000000000001</v>
      </c>
      <c r="AG26" s="14">
        <v>8.7200000000000006</v>
      </c>
      <c r="AH26" s="14">
        <v>9.0350000000000001</v>
      </c>
      <c r="AI26" s="14">
        <v>11.586</v>
      </c>
      <c r="AJ26" s="14">
        <v>32.353000000000002</v>
      </c>
      <c r="AK26" s="14">
        <v>31.661999999999999</v>
      </c>
      <c r="AL26" s="14">
        <v>16.626999999999999</v>
      </c>
      <c r="AM26" s="14">
        <v>9.3800000000000008</v>
      </c>
      <c r="AN26" s="25">
        <v>15.627000000000001</v>
      </c>
    </row>
    <row r="27" spans="1:40" ht="14.25" customHeight="1" x14ac:dyDescent="0.3">
      <c r="A27" s="2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55"/>
      <c r="Q27" s="12"/>
      <c r="R27" s="12"/>
      <c r="S27" s="28"/>
      <c r="T27" s="56"/>
      <c r="U27" s="87"/>
      <c r="V27" s="73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25"/>
    </row>
    <row r="28" spans="1:40" ht="14.25" customHeight="1" x14ac:dyDescent="0.3">
      <c r="A28" s="18"/>
      <c r="B28" s="10">
        <v>18.736975947444638</v>
      </c>
      <c r="C28" s="12" t="s">
        <v>33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55"/>
      <c r="Q28" s="12"/>
      <c r="R28" s="12"/>
      <c r="S28" s="28"/>
      <c r="T28" s="56"/>
      <c r="U28" s="89" t="s">
        <v>101</v>
      </c>
      <c r="V28" s="71"/>
      <c r="W28" s="10">
        <f t="shared" ref="W28:AB28" si="40">W29+W39</f>
        <v>1329.3385703449678</v>
      </c>
      <c r="X28" s="10">
        <f t="shared" si="40"/>
        <v>1301.1675605854957</v>
      </c>
      <c r="Y28" s="10">
        <f t="shared" si="40"/>
        <v>1335.162</v>
      </c>
      <c r="Z28" s="10">
        <f t="shared" si="40"/>
        <v>1482.2670000000001</v>
      </c>
      <c r="AA28" s="10">
        <f t="shared" si="40"/>
        <v>1603.1860000000001</v>
      </c>
      <c r="AB28" s="10">
        <f t="shared" si="40"/>
        <v>1763.6820000000002</v>
      </c>
      <c r="AC28" s="10">
        <f t="shared" ref="AC28:AH28" si="41">AC29+AC39</f>
        <v>1999.6249999999998</v>
      </c>
      <c r="AD28" s="10">
        <f t="shared" si="41"/>
        <v>2136.3810000000003</v>
      </c>
      <c r="AE28" s="10">
        <f t="shared" si="41"/>
        <v>2277.904</v>
      </c>
      <c r="AF28" s="10">
        <f t="shared" si="41"/>
        <v>2444.0099999999998</v>
      </c>
      <c r="AG28" s="10">
        <f t="shared" si="41"/>
        <v>2587.152</v>
      </c>
      <c r="AH28" s="10">
        <f t="shared" si="41"/>
        <v>4169.3490000000002</v>
      </c>
      <c r="AI28" s="10">
        <f t="shared" ref="AI28:AJ28" si="42">AI29+AI39</f>
        <v>4458.4960000000001</v>
      </c>
      <c r="AJ28" s="10">
        <f t="shared" si="42"/>
        <v>4851.665</v>
      </c>
      <c r="AK28" s="10">
        <f t="shared" ref="AK28:AL28" si="43">AK29+AK39</f>
        <v>5055.9740000000002</v>
      </c>
      <c r="AL28" s="10">
        <f t="shared" si="43"/>
        <v>5219.8809999999994</v>
      </c>
      <c r="AM28" s="10">
        <f t="shared" ref="AM28:AN28" si="44">AM29+AM39</f>
        <v>5271.7709999999997</v>
      </c>
      <c r="AN28" s="19">
        <f t="shared" si="44"/>
        <v>5361.0889999999999</v>
      </c>
    </row>
    <row r="29" spans="1:40" ht="14.25" customHeight="1" x14ac:dyDescent="0.3">
      <c r="A29" s="29" t="s">
        <v>64</v>
      </c>
      <c r="B29" s="16">
        <f t="shared" ref="B29:G29" si="45">B30+B31+B32</f>
        <v>79.837631375794061</v>
      </c>
      <c r="C29" s="16">
        <f t="shared" si="45"/>
        <v>60.37156076713876</v>
      </c>
      <c r="D29" s="16">
        <f t="shared" si="45"/>
        <v>49.820000000000007</v>
      </c>
      <c r="E29" s="16">
        <f t="shared" si="45"/>
        <v>77.260000000000005</v>
      </c>
      <c r="F29" s="16">
        <f t="shared" si="45"/>
        <v>82.620999999999995</v>
      </c>
      <c r="G29" s="16">
        <f t="shared" si="45"/>
        <v>101.45100000000001</v>
      </c>
      <c r="H29" s="16">
        <f t="shared" ref="H29:M29" si="46">H30+H31+H32</f>
        <v>111.973</v>
      </c>
      <c r="I29" s="16">
        <f t="shared" si="46"/>
        <v>117.54900000000001</v>
      </c>
      <c r="J29" s="16">
        <f t="shared" si="46"/>
        <v>95.824000000000012</v>
      </c>
      <c r="K29" s="16">
        <f t="shared" si="46"/>
        <v>121.833</v>
      </c>
      <c r="L29" s="16">
        <f t="shared" si="46"/>
        <v>142.50899999999999</v>
      </c>
      <c r="M29" s="16">
        <f t="shared" si="46"/>
        <v>140.197</v>
      </c>
      <c r="N29" s="16">
        <f t="shared" ref="N29:O29" si="47">N30+N31+N32</f>
        <v>152.84800000000001</v>
      </c>
      <c r="O29" s="16">
        <f t="shared" si="47"/>
        <v>194.113</v>
      </c>
      <c r="P29" s="51">
        <f t="shared" ref="P29:Q29" si="48">P30+P31+P32</f>
        <v>176.82599999999999</v>
      </c>
      <c r="Q29" s="16">
        <f t="shared" si="48"/>
        <v>103.44600000000001</v>
      </c>
      <c r="R29" s="16">
        <f t="shared" ref="R29:S29" si="49">R30+R31+R32</f>
        <v>75.358000000000004</v>
      </c>
      <c r="S29" s="30">
        <f t="shared" si="49"/>
        <v>88.774000000000001</v>
      </c>
      <c r="T29" s="56"/>
      <c r="U29" s="92" t="s">
        <v>102</v>
      </c>
      <c r="V29" s="72"/>
      <c r="W29" s="11">
        <f t="shared" ref="W29:AB29" si="50">SUM(W30:W37)</f>
        <v>221.9275375533677</v>
      </c>
      <c r="X29" s="11">
        <f t="shared" si="50"/>
        <v>182.22169523338599</v>
      </c>
      <c r="Y29" s="11">
        <f t="shared" si="50"/>
        <v>227.10500000000002</v>
      </c>
      <c r="Z29" s="11">
        <f t="shared" si="50"/>
        <v>298.39000000000004</v>
      </c>
      <c r="AA29" s="11">
        <f t="shared" si="50"/>
        <v>355.67900000000003</v>
      </c>
      <c r="AB29" s="11">
        <f t="shared" si="50"/>
        <v>443.505</v>
      </c>
      <c r="AC29" s="11">
        <f t="shared" ref="AC29:AH29" si="51">SUM(AC30:AC37)</f>
        <v>551.33799999999997</v>
      </c>
      <c r="AD29" s="11">
        <f t="shared" si="51"/>
        <v>627.48099999999999</v>
      </c>
      <c r="AE29" s="11">
        <f t="shared" si="51"/>
        <v>722.28200000000004</v>
      </c>
      <c r="AF29" s="11">
        <f t="shared" si="51"/>
        <v>794.66800000000001</v>
      </c>
      <c r="AG29" s="11">
        <f t="shared" si="51"/>
        <v>922.11400000000003</v>
      </c>
      <c r="AH29" s="11">
        <f t="shared" si="51"/>
        <v>2262.6570000000002</v>
      </c>
      <c r="AI29" s="11">
        <f t="shared" ref="AI29:AJ29" si="52">SUM(AI30:AI37)</f>
        <v>2393.549</v>
      </c>
      <c r="AJ29" s="11">
        <f t="shared" si="52"/>
        <v>2553.71</v>
      </c>
      <c r="AK29" s="11">
        <f t="shared" ref="AK29:AL29" si="53">SUM(AK30:AK37)</f>
        <v>2691.471</v>
      </c>
      <c r="AL29" s="11">
        <f t="shared" si="53"/>
        <v>2742.2239999999997</v>
      </c>
      <c r="AM29" s="11">
        <f t="shared" ref="AM29:AN29" si="54">SUM(AM30:AM37)</f>
        <v>2814.8459999999995</v>
      </c>
      <c r="AN29" s="21">
        <f t="shared" si="54"/>
        <v>2936.8229999999994</v>
      </c>
    </row>
    <row r="30" spans="1:40" ht="14.25" customHeight="1" x14ac:dyDescent="0.3">
      <c r="A30" s="24" t="s">
        <v>65</v>
      </c>
      <c r="B30" s="13">
        <v>67.892420274718162</v>
      </c>
      <c r="C30" s="13">
        <v>47.588437416431617</v>
      </c>
      <c r="D30" s="13">
        <v>39.831000000000003</v>
      </c>
      <c r="E30" s="13">
        <v>62.689</v>
      </c>
      <c r="F30" s="13">
        <v>65.944999999999993</v>
      </c>
      <c r="G30" s="13">
        <f>84.916</f>
        <v>84.915999999999997</v>
      </c>
      <c r="H30" s="13">
        <v>88.938000000000002</v>
      </c>
      <c r="I30" s="13">
        <v>87.869</v>
      </c>
      <c r="J30" s="13">
        <v>65.37</v>
      </c>
      <c r="K30" s="13">
        <v>95.352000000000004</v>
      </c>
      <c r="L30" s="13">
        <v>118.506</v>
      </c>
      <c r="M30" s="13">
        <v>112.917</v>
      </c>
      <c r="N30" s="13">
        <v>119.396</v>
      </c>
      <c r="O30" s="13">
        <v>141.68299999999999</v>
      </c>
      <c r="P30" s="49">
        <v>136.005</v>
      </c>
      <c r="Q30" s="13">
        <v>78.677000000000007</v>
      </c>
      <c r="R30" s="13">
        <v>52.737000000000002</v>
      </c>
      <c r="S30" s="23">
        <v>60.046999999999997</v>
      </c>
      <c r="T30" s="56"/>
      <c r="U30" s="99" t="s">
        <v>103</v>
      </c>
      <c r="V30" s="75"/>
      <c r="W30" s="12">
        <v>0.85288097508632243</v>
      </c>
      <c r="X30" s="12">
        <v>0.69680257933004019</v>
      </c>
      <c r="Y30" s="12">
        <v>0.54100000000000004</v>
      </c>
      <c r="Z30" s="12">
        <v>0.68400000000000005</v>
      </c>
      <c r="AA30" s="12">
        <v>0.52800000000000002</v>
      </c>
      <c r="AB30" s="12">
        <v>0.47199999999999998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28">
        <v>0</v>
      </c>
    </row>
    <row r="31" spans="1:40" ht="14.25" customHeight="1" x14ac:dyDescent="0.3">
      <c r="A31" s="24" t="s">
        <v>66</v>
      </c>
      <c r="B31" s="13"/>
      <c r="C31" s="13">
        <v>9.2658092446175662</v>
      </c>
      <c r="D31" s="13">
        <v>3.4140000000000001</v>
      </c>
      <c r="E31" s="13">
        <v>3.8170000000000002</v>
      </c>
      <c r="F31" s="13">
        <v>4.7690000000000001</v>
      </c>
      <c r="G31" s="13">
        <v>5.1379999999999999</v>
      </c>
      <c r="H31" s="13">
        <v>6.2519999999999998</v>
      </c>
      <c r="I31" s="13">
        <v>6.6589999999999998</v>
      </c>
      <c r="J31" s="13">
        <v>8.1470000000000002</v>
      </c>
      <c r="K31" s="13">
        <v>9.0530000000000008</v>
      </c>
      <c r="L31" s="13">
        <v>10.837999999999999</v>
      </c>
      <c r="M31" s="13">
        <v>9.5169999999999995</v>
      </c>
      <c r="N31" s="13">
        <v>10.861000000000001</v>
      </c>
      <c r="O31" s="13">
        <v>10.510999999999999</v>
      </c>
      <c r="P31" s="49">
        <v>11.307</v>
      </c>
      <c r="Q31" s="13">
        <v>10.406000000000001</v>
      </c>
      <c r="R31" s="13">
        <v>12.565</v>
      </c>
      <c r="S31" s="23">
        <v>12.659000000000001</v>
      </c>
      <c r="T31" s="78"/>
      <c r="U31" s="99" t="s">
        <v>104</v>
      </c>
      <c r="V31" s="75"/>
      <c r="W31" s="12">
        <v>104.75753187581677</v>
      </c>
      <c r="X31" s="12">
        <v>111.90535056250452</v>
      </c>
      <c r="Y31" s="12">
        <v>159.68100000000001</v>
      </c>
      <c r="Z31" s="12">
        <v>227.37299999999999</v>
      </c>
      <c r="AA31" s="12">
        <v>282.98099999999999</v>
      </c>
      <c r="AB31" s="12">
        <v>357.60899999999998</v>
      </c>
      <c r="AC31" s="12">
        <v>480.41399999999999</v>
      </c>
      <c r="AD31" s="12">
        <v>565.33900000000006</v>
      </c>
      <c r="AE31" s="12">
        <v>661.38300000000004</v>
      </c>
      <c r="AF31" s="12">
        <v>721.89700000000005</v>
      </c>
      <c r="AG31" s="12">
        <v>837.02499999999998</v>
      </c>
      <c r="AH31" s="12">
        <v>880.54399999999998</v>
      </c>
      <c r="AI31" s="12">
        <v>1020.68</v>
      </c>
      <c r="AJ31" s="12">
        <v>1181.9659999999999</v>
      </c>
      <c r="AK31" s="12">
        <v>1321.66</v>
      </c>
      <c r="AL31" s="12">
        <v>1377.4169999999999</v>
      </c>
      <c r="AM31" s="12">
        <v>1452.83</v>
      </c>
      <c r="AN31" s="28">
        <v>1574.54</v>
      </c>
    </row>
    <row r="32" spans="1:40" ht="14.25" customHeight="1" x14ac:dyDescent="0.3">
      <c r="A32" s="24" t="s">
        <v>67</v>
      </c>
      <c r="B32" s="13">
        <v>11.945211101075897</v>
      </c>
      <c r="C32" s="13">
        <v>3.5173141060895801</v>
      </c>
      <c r="D32" s="13">
        <v>6.5750000000000002</v>
      </c>
      <c r="E32" s="13">
        <v>10.754</v>
      </c>
      <c r="F32" s="13">
        <v>11.907</v>
      </c>
      <c r="G32" s="13">
        <v>11.397</v>
      </c>
      <c r="H32" s="13">
        <v>16.783000000000001</v>
      </c>
      <c r="I32" s="13">
        <v>23.021000000000001</v>
      </c>
      <c r="J32" s="13">
        <v>22.306999999999999</v>
      </c>
      <c r="K32" s="13">
        <v>17.428000000000001</v>
      </c>
      <c r="L32" s="13">
        <v>13.164999999999999</v>
      </c>
      <c r="M32" s="13">
        <v>17.763000000000002</v>
      </c>
      <c r="N32" s="13">
        <v>22.591000000000001</v>
      </c>
      <c r="O32" s="13">
        <v>41.918999999999997</v>
      </c>
      <c r="P32" s="49">
        <v>29.513999999999999</v>
      </c>
      <c r="Q32" s="13">
        <v>14.363</v>
      </c>
      <c r="R32" s="13">
        <v>10.055999999999999</v>
      </c>
      <c r="S32" s="23">
        <v>16.068000000000001</v>
      </c>
      <c r="T32" s="56"/>
      <c r="U32" s="99" t="s">
        <v>105</v>
      </c>
      <c r="V32" s="75"/>
      <c r="W32" s="12">
        <v>70.381433398422061</v>
      </c>
      <c r="X32" s="12">
        <v>44.715451256616092</v>
      </c>
      <c r="Y32" s="12">
        <v>45.93</v>
      </c>
      <c r="Z32" s="12">
        <v>50.543999999999997</v>
      </c>
      <c r="AA32" s="12">
        <v>47.106000000000002</v>
      </c>
      <c r="AB32" s="12">
        <v>42.177999999999997</v>
      </c>
      <c r="AC32" s="12">
        <v>31.323</v>
      </c>
      <c r="AD32" s="12">
        <v>29.334</v>
      </c>
      <c r="AE32" s="12">
        <v>33.494</v>
      </c>
      <c r="AF32" s="12">
        <v>50.149000000000001</v>
      </c>
      <c r="AG32" s="12">
        <v>59.658999999999999</v>
      </c>
      <c r="AH32" s="12">
        <v>1266.9559999999999</v>
      </c>
      <c r="AI32" s="12">
        <v>1260.404</v>
      </c>
      <c r="AJ32" s="12">
        <v>1258.8910000000001</v>
      </c>
      <c r="AK32" s="12">
        <v>1253.211</v>
      </c>
      <c r="AL32" s="12">
        <v>1247.7239999999999</v>
      </c>
      <c r="AM32" s="12">
        <v>1244.6099999999999</v>
      </c>
      <c r="AN32" s="28">
        <v>1247.4949999999999</v>
      </c>
    </row>
    <row r="33" spans="1:40" ht="14.25" customHeight="1" x14ac:dyDescent="0.3">
      <c r="A33" s="2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50"/>
      <c r="Q33" s="14"/>
      <c r="R33" s="14"/>
      <c r="S33" s="25"/>
      <c r="T33" s="78"/>
      <c r="U33" s="99" t="s">
        <v>106</v>
      </c>
      <c r="V33" s="75"/>
      <c r="W33" s="12">
        <v>0.44754807231408084</v>
      </c>
      <c r="X33" s="12">
        <v>1.095576152970283</v>
      </c>
      <c r="Y33" s="12">
        <v>8.2000000000000003E-2</v>
      </c>
      <c r="Z33" s="12">
        <v>0.31900000000000001</v>
      </c>
      <c r="AA33" s="12">
        <v>0.63600000000000001</v>
      </c>
      <c r="AB33" s="12">
        <v>0.80200000000000005</v>
      </c>
      <c r="AC33" s="12">
        <v>0.76900000000000002</v>
      </c>
      <c r="AD33" s="12">
        <v>0.74399999999999999</v>
      </c>
      <c r="AE33" s="12">
        <v>0.71</v>
      </c>
      <c r="AF33" s="12">
        <v>1.123</v>
      </c>
      <c r="AG33" s="12">
        <v>2.1070000000000002</v>
      </c>
      <c r="AH33" s="12">
        <v>2.6150000000000002</v>
      </c>
      <c r="AI33" s="12">
        <v>3.1829999999999998</v>
      </c>
      <c r="AJ33" s="12">
        <v>3.774</v>
      </c>
      <c r="AK33" s="12">
        <v>4.194</v>
      </c>
      <c r="AL33" s="12">
        <v>4.5359999999999996</v>
      </c>
      <c r="AM33" s="12">
        <v>4.8979999999999997</v>
      </c>
      <c r="AN33" s="28">
        <v>5.298</v>
      </c>
    </row>
    <row r="34" spans="1:40" ht="14.25" customHeight="1" x14ac:dyDescent="0.3">
      <c r="A34" s="18" t="s">
        <v>68</v>
      </c>
      <c r="B34" s="10">
        <f t="shared" ref="B34:G34" si="55">B35+B42+B55+B61</f>
        <v>1050.0014295973749</v>
      </c>
      <c r="C34" s="10">
        <f t="shared" si="55"/>
        <v>1093.1515558224137</v>
      </c>
      <c r="D34" s="10">
        <f t="shared" si="55"/>
        <v>1115.7259999999999</v>
      </c>
      <c r="E34" s="10">
        <f t="shared" si="55"/>
        <v>1208.855</v>
      </c>
      <c r="F34" s="10">
        <f t="shared" si="55"/>
        <v>1268.49</v>
      </c>
      <c r="G34" s="10">
        <f t="shared" si="55"/>
        <v>1360.481</v>
      </c>
      <c r="H34" s="10">
        <f t="shared" ref="H34:M34" si="56">H35+H42+H55+H61</f>
        <v>1496.8990000000001</v>
      </c>
      <c r="I34" s="10">
        <f t="shared" si="56"/>
        <v>1469.2730000000001</v>
      </c>
      <c r="J34" s="10">
        <f t="shared" si="56"/>
        <v>1495.373</v>
      </c>
      <c r="K34" s="10">
        <f t="shared" si="56"/>
        <v>1597.2539999999999</v>
      </c>
      <c r="L34" s="10">
        <f t="shared" si="56"/>
        <v>1639.36</v>
      </c>
      <c r="M34" s="10">
        <f t="shared" si="56"/>
        <v>1827.04</v>
      </c>
      <c r="N34" s="10">
        <f t="shared" ref="N34:O34" si="57">N35+N42+N55+N61</f>
        <v>1913.3419999999999</v>
      </c>
      <c r="O34" s="10">
        <f t="shared" si="57"/>
        <v>2025.068</v>
      </c>
      <c r="P34" s="47">
        <f t="shared" ref="P34:Q34" si="58">P35+P42+P55+P61</f>
        <v>2019.076</v>
      </c>
      <c r="Q34" s="10">
        <f t="shared" si="58"/>
        <v>2130.2130000000002</v>
      </c>
      <c r="R34" s="10">
        <f t="shared" ref="R34:S34" si="59">R35+R42+R55+R61</f>
        <v>2198.4169999999999</v>
      </c>
      <c r="S34" s="19">
        <f t="shared" si="59"/>
        <v>2224.174</v>
      </c>
      <c r="T34" s="56"/>
      <c r="U34" s="99" t="s">
        <v>107</v>
      </c>
      <c r="V34" s="75"/>
      <c r="W34" s="12">
        <v>0.45276189803438771</v>
      </c>
      <c r="X34" s="12">
        <v>0.99668165221091443</v>
      </c>
      <c r="Y34" s="12">
        <v>0.91200000000000003</v>
      </c>
      <c r="Z34" s="12">
        <v>1.1439999999999999</v>
      </c>
      <c r="AA34" s="12">
        <v>1.748</v>
      </c>
      <c r="AB34" s="12">
        <v>1.71</v>
      </c>
      <c r="AC34" s="12">
        <v>1.9590000000000001</v>
      </c>
      <c r="AD34" s="12">
        <v>1.4690000000000001</v>
      </c>
      <c r="AE34" s="12">
        <v>2.0739999999999998</v>
      </c>
      <c r="AF34" s="12">
        <v>1.286</v>
      </c>
      <c r="AG34" s="12">
        <v>1.389</v>
      </c>
      <c r="AH34" s="12">
        <v>0.72399999999999998</v>
      </c>
      <c r="AI34" s="12">
        <v>0.65500000000000003</v>
      </c>
      <c r="AJ34" s="12">
        <v>0.78</v>
      </c>
      <c r="AK34" s="12">
        <v>1.23</v>
      </c>
      <c r="AL34" s="12">
        <v>1.3520000000000001</v>
      </c>
      <c r="AM34" s="12">
        <v>1.53</v>
      </c>
      <c r="AN34" s="28">
        <v>0.158</v>
      </c>
    </row>
    <row r="35" spans="1:40" ht="14.25" customHeight="1" x14ac:dyDescent="0.3">
      <c r="A35" s="20" t="s">
        <v>69</v>
      </c>
      <c r="B35" s="11">
        <f t="shared" ref="B35:G35" si="60">SUM(B36:B40)</f>
        <v>59.392370659279841</v>
      </c>
      <c r="C35" s="11">
        <f t="shared" si="60"/>
        <v>66.574163307112826</v>
      </c>
      <c r="D35" s="11">
        <f t="shared" si="60"/>
        <v>70.921999999999997</v>
      </c>
      <c r="E35" s="11">
        <f t="shared" si="60"/>
        <v>76.090999999999994</v>
      </c>
      <c r="F35" s="11">
        <f t="shared" si="60"/>
        <v>81.085000000000008</v>
      </c>
      <c r="G35" s="11">
        <f t="shared" si="60"/>
        <v>81.667000000000016</v>
      </c>
      <c r="H35" s="11">
        <f t="shared" ref="H35:M35" si="61">SUM(H36:H40)</f>
        <v>85.28</v>
      </c>
      <c r="I35" s="11">
        <f t="shared" si="61"/>
        <v>91.801999999999992</v>
      </c>
      <c r="J35" s="11">
        <f t="shared" si="61"/>
        <v>94.492000000000004</v>
      </c>
      <c r="K35" s="11">
        <f t="shared" si="61"/>
        <v>105.39099999999999</v>
      </c>
      <c r="L35" s="11">
        <f t="shared" si="61"/>
        <v>103.23299999999999</v>
      </c>
      <c r="M35" s="11">
        <f t="shared" si="61"/>
        <v>113.43100000000001</v>
      </c>
      <c r="N35" s="11">
        <f t="shared" ref="N35:O35" si="62">SUM(N36:N40)</f>
        <v>117.61699999999999</v>
      </c>
      <c r="O35" s="11">
        <f t="shared" si="62"/>
        <v>119.04800000000003</v>
      </c>
      <c r="P35" s="48">
        <f t="shared" ref="P35:Q35" si="63">SUM(P36:P40)</f>
        <v>118.521</v>
      </c>
      <c r="Q35" s="11">
        <f t="shared" si="63"/>
        <v>124.13400000000001</v>
      </c>
      <c r="R35" s="11">
        <f t="shared" ref="R35:S35" si="64">SUM(R36:R40)</f>
        <v>124.19499999999999</v>
      </c>
      <c r="S35" s="21">
        <f t="shared" si="64"/>
        <v>129.30499999999998</v>
      </c>
      <c r="T35" s="56"/>
      <c r="U35" s="99" t="s">
        <v>108</v>
      </c>
      <c r="V35" s="75"/>
      <c r="W35" s="12">
        <v>0</v>
      </c>
      <c r="X35" s="12">
        <v>0.72690821816665063</v>
      </c>
      <c r="Y35" s="12">
        <v>0.59299999999999997</v>
      </c>
      <c r="Z35" s="12">
        <v>0.50700000000000001</v>
      </c>
      <c r="AA35" s="12">
        <v>4.4349999999999996</v>
      </c>
      <c r="AB35" s="12">
        <v>4.3570000000000002</v>
      </c>
      <c r="AC35" s="12">
        <v>4.2149999999999999</v>
      </c>
      <c r="AD35" s="12">
        <v>3.9630000000000001</v>
      </c>
      <c r="AE35" s="12">
        <v>3.64</v>
      </c>
      <c r="AF35" s="12">
        <v>3.4569999999999999</v>
      </c>
      <c r="AG35" s="12">
        <v>3.9169999999999998</v>
      </c>
      <c r="AH35" s="12">
        <v>3.5510000000000002</v>
      </c>
      <c r="AI35" s="12">
        <v>2.9260000000000002</v>
      </c>
      <c r="AJ35" s="12">
        <v>2.738</v>
      </c>
      <c r="AK35" s="12">
        <v>2.5529999999999999</v>
      </c>
      <c r="AL35" s="12">
        <v>2.3639999999999999</v>
      </c>
      <c r="AM35" s="12">
        <v>2.1819999999999999</v>
      </c>
      <c r="AN35" s="28">
        <v>8.2000000000000003E-2</v>
      </c>
    </row>
    <row r="36" spans="1:40" ht="14.25" customHeight="1" x14ac:dyDescent="0.3">
      <c r="A36" s="22" t="s">
        <v>70</v>
      </c>
      <c r="B36" s="12">
        <v>54.499111126808643</v>
      </c>
      <c r="C36" s="12">
        <v>59.916612426060382</v>
      </c>
      <c r="D36" s="12">
        <v>63.904000000000003</v>
      </c>
      <c r="E36" s="12">
        <v>68.316999999999993</v>
      </c>
      <c r="F36" s="12">
        <v>72.623000000000005</v>
      </c>
      <c r="G36" s="12">
        <v>72.682000000000002</v>
      </c>
      <c r="H36" s="12">
        <v>76.356999999999999</v>
      </c>
      <c r="I36" s="12">
        <v>81.724999999999994</v>
      </c>
      <c r="J36" s="12">
        <v>83.13</v>
      </c>
      <c r="K36" s="12">
        <v>89.466999999999999</v>
      </c>
      <c r="L36" s="12">
        <v>87.382999999999996</v>
      </c>
      <c r="M36" s="12">
        <v>97.617000000000004</v>
      </c>
      <c r="N36" s="12">
        <v>97.754999999999995</v>
      </c>
      <c r="O36" s="12">
        <v>95.748000000000005</v>
      </c>
      <c r="P36" s="55">
        <v>93.948999999999998</v>
      </c>
      <c r="Q36" s="12">
        <v>98.275000000000006</v>
      </c>
      <c r="R36" s="12">
        <v>99.58</v>
      </c>
      <c r="S36" s="28">
        <v>104.316</v>
      </c>
      <c r="T36" s="56"/>
      <c r="U36" s="99" t="s">
        <v>109</v>
      </c>
      <c r="V36" s="75"/>
      <c r="W36" s="12">
        <v>45.015834893276349</v>
      </c>
      <c r="X36" s="12">
        <v>21.96870695440257</v>
      </c>
      <c r="Y36" s="12">
        <v>19.324000000000002</v>
      </c>
      <c r="Z36" s="12">
        <v>17.818999999999999</v>
      </c>
      <c r="AA36" s="12">
        <v>17.245000000000001</v>
      </c>
      <c r="AB36" s="12">
        <v>35.771000000000001</v>
      </c>
      <c r="AC36" s="12">
        <v>32.241</v>
      </c>
      <c r="AD36" s="12">
        <v>26.183</v>
      </c>
      <c r="AE36" s="12">
        <v>20.552</v>
      </c>
      <c r="AF36" s="12">
        <v>15.347</v>
      </c>
      <c r="AG36" s="12">
        <v>16.594999999999999</v>
      </c>
      <c r="AH36" s="12">
        <v>106.67700000000001</v>
      </c>
      <c r="AI36" s="12">
        <v>105.29600000000001</v>
      </c>
      <c r="AJ36" s="12">
        <v>104.125</v>
      </c>
      <c r="AK36" s="12">
        <v>108.623</v>
      </c>
      <c r="AL36" s="12">
        <v>108.831</v>
      </c>
      <c r="AM36" s="12">
        <v>108.004</v>
      </c>
      <c r="AN36" s="28">
        <v>108.767</v>
      </c>
    </row>
    <row r="37" spans="1:40" ht="14.25" customHeight="1" x14ac:dyDescent="0.3">
      <c r="A37" s="22" t="s">
        <v>71</v>
      </c>
      <c r="B37" s="12">
        <v>2.0626567301239711</v>
      </c>
      <c r="C37" s="12">
        <v>2.9062873692549109</v>
      </c>
      <c r="D37" s="12">
        <v>3.448</v>
      </c>
      <c r="E37" s="12">
        <v>4.3970000000000002</v>
      </c>
      <c r="F37" s="12">
        <v>5.1520000000000001</v>
      </c>
      <c r="G37" s="12">
        <v>5.2720000000000002</v>
      </c>
      <c r="H37" s="12">
        <v>5.6029999999999998</v>
      </c>
      <c r="I37" s="12">
        <v>7.4690000000000003</v>
      </c>
      <c r="J37" s="12">
        <v>8.8689999999999998</v>
      </c>
      <c r="K37" s="12">
        <v>12.446999999999999</v>
      </c>
      <c r="L37" s="12">
        <v>12.331</v>
      </c>
      <c r="M37" s="12">
        <v>12.521000000000001</v>
      </c>
      <c r="N37" s="12">
        <v>15.951000000000001</v>
      </c>
      <c r="O37" s="12">
        <v>19.356000000000002</v>
      </c>
      <c r="P37" s="55">
        <v>20.364000000000001</v>
      </c>
      <c r="Q37" s="12">
        <v>19.37</v>
      </c>
      <c r="R37" s="12">
        <v>18.163</v>
      </c>
      <c r="S37" s="28">
        <v>16.850000000000001</v>
      </c>
      <c r="T37" s="78"/>
      <c r="U37" s="99" t="s">
        <v>110</v>
      </c>
      <c r="V37" s="75"/>
      <c r="W37" s="12">
        <v>1.9546440417729044E-2</v>
      </c>
      <c r="X37" s="12">
        <v>0.11621785718490411</v>
      </c>
      <c r="Y37" s="12">
        <v>4.2000000000000003E-2</v>
      </c>
      <c r="Z37" s="12">
        <v>0</v>
      </c>
      <c r="AA37" s="12">
        <v>1</v>
      </c>
      <c r="AB37" s="12">
        <v>0.60599999999999998</v>
      </c>
      <c r="AC37" s="12">
        <v>0.41699999999999998</v>
      </c>
      <c r="AD37" s="12">
        <v>0.44900000000000001</v>
      </c>
      <c r="AE37" s="12">
        <v>0.42899999999999999</v>
      </c>
      <c r="AF37" s="12">
        <v>1.409</v>
      </c>
      <c r="AG37" s="12">
        <v>1.4219999999999999</v>
      </c>
      <c r="AH37" s="12">
        <v>1.59</v>
      </c>
      <c r="AI37" s="12">
        <v>0.40500000000000003</v>
      </c>
      <c r="AJ37" s="12">
        <v>1.4359999999999999</v>
      </c>
      <c r="AK37" s="12">
        <v>0</v>
      </c>
      <c r="AL37" s="12">
        <v>0</v>
      </c>
      <c r="AM37" s="12">
        <v>0.79200000000000004</v>
      </c>
      <c r="AN37" s="28">
        <v>0.48299999999999998</v>
      </c>
    </row>
    <row r="38" spans="1:40" ht="14.25" customHeight="1" x14ac:dyDescent="0.3">
      <c r="A38" s="22" t="s">
        <v>72</v>
      </c>
      <c r="B38" s="12">
        <v>1.0177051430186033</v>
      </c>
      <c r="C38" s="12">
        <v>1.4736626116557596</v>
      </c>
      <c r="D38" s="12">
        <v>1.45</v>
      </c>
      <c r="E38" s="12">
        <v>1.3919999999999999</v>
      </c>
      <c r="F38" s="12">
        <v>1.3180000000000001</v>
      </c>
      <c r="G38" s="12">
        <v>1.833</v>
      </c>
      <c r="H38" s="12">
        <v>1.7150000000000001</v>
      </c>
      <c r="I38" s="12">
        <v>1.637</v>
      </c>
      <c r="J38" s="12">
        <v>1.262</v>
      </c>
      <c r="K38" s="12">
        <v>1.1240000000000001</v>
      </c>
      <c r="L38" s="12">
        <v>1.31</v>
      </c>
      <c r="M38" s="12">
        <v>1.04</v>
      </c>
      <c r="N38" s="12">
        <v>1.0389999999999999</v>
      </c>
      <c r="O38" s="12">
        <v>1.1379999999999999</v>
      </c>
      <c r="P38" s="55">
        <v>1.1639999999999999</v>
      </c>
      <c r="Q38" s="12">
        <v>3.6160000000000001</v>
      </c>
      <c r="R38" s="12">
        <v>2.9820000000000002</v>
      </c>
      <c r="S38" s="28">
        <v>3.569</v>
      </c>
      <c r="T38" s="56"/>
      <c r="U38" s="87"/>
      <c r="V38" s="73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25"/>
    </row>
    <row r="39" spans="1:40" ht="14.25" customHeight="1" x14ac:dyDescent="0.3">
      <c r="A39" s="22" t="s">
        <v>73</v>
      </c>
      <c r="B39" s="12">
        <v>1.0642931986484419</v>
      </c>
      <c r="C39" s="12">
        <v>1.6040082546634309</v>
      </c>
      <c r="D39" s="12">
        <v>1.544</v>
      </c>
      <c r="E39" s="12">
        <v>1.7629999999999999</v>
      </c>
      <c r="F39" s="12">
        <v>1.772</v>
      </c>
      <c r="G39" s="12">
        <v>1.6830000000000001</v>
      </c>
      <c r="H39" s="12">
        <v>1.4490000000000001</v>
      </c>
      <c r="I39" s="12">
        <v>0.9</v>
      </c>
      <c r="J39" s="12">
        <v>1.0960000000000001</v>
      </c>
      <c r="K39" s="12">
        <v>1.7290000000000001</v>
      </c>
      <c r="L39" s="12">
        <v>2.0019999999999998</v>
      </c>
      <c r="M39" s="12">
        <v>2.081</v>
      </c>
      <c r="N39" s="12">
        <v>2.782</v>
      </c>
      <c r="O39" s="12">
        <v>2.7450000000000001</v>
      </c>
      <c r="P39" s="55">
        <v>3.0049999999999999</v>
      </c>
      <c r="Q39" s="12">
        <v>2.8580000000000001</v>
      </c>
      <c r="R39" s="12">
        <v>3.4529999999999998</v>
      </c>
      <c r="S39" s="28">
        <v>4.5670000000000002</v>
      </c>
      <c r="T39" s="56"/>
      <c r="U39" s="92" t="s">
        <v>111</v>
      </c>
      <c r="V39" s="72"/>
      <c r="W39" s="11">
        <f t="shared" ref="W39:AB39" si="65">SUM(W40:W47)</f>
        <v>1107.4110327916001</v>
      </c>
      <c r="X39" s="11">
        <f t="shared" si="65"/>
        <v>1118.9458653521096</v>
      </c>
      <c r="Y39" s="11">
        <f t="shared" si="65"/>
        <v>1108.057</v>
      </c>
      <c r="Z39" s="11">
        <f t="shared" si="65"/>
        <v>1183.877</v>
      </c>
      <c r="AA39" s="11">
        <f t="shared" si="65"/>
        <v>1247.5070000000001</v>
      </c>
      <c r="AB39" s="11">
        <f t="shared" si="65"/>
        <v>1320.1770000000001</v>
      </c>
      <c r="AC39" s="11">
        <f t="shared" ref="AC39:AH39" si="66">SUM(AC40:AC47)</f>
        <v>1448.2869999999998</v>
      </c>
      <c r="AD39" s="11">
        <f t="shared" si="66"/>
        <v>1508.9</v>
      </c>
      <c r="AE39" s="11">
        <f t="shared" si="66"/>
        <v>1555.6219999999998</v>
      </c>
      <c r="AF39" s="11">
        <f t="shared" si="66"/>
        <v>1649.3419999999999</v>
      </c>
      <c r="AG39" s="11">
        <f t="shared" si="66"/>
        <v>1665.038</v>
      </c>
      <c r="AH39" s="11">
        <f t="shared" si="66"/>
        <v>1906.692</v>
      </c>
      <c r="AI39" s="11">
        <f t="shared" ref="AI39:AJ39" si="67">SUM(AI40:AI47)</f>
        <v>2064.9470000000001</v>
      </c>
      <c r="AJ39" s="11">
        <f t="shared" si="67"/>
        <v>2297.9549999999999</v>
      </c>
      <c r="AK39" s="11">
        <f t="shared" ref="AK39:AL39" si="68">SUM(AK40:AK47)</f>
        <v>2364.5030000000002</v>
      </c>
      <c r="AL39" s="11">
        <f t="shared" si="68"/>
        <v>2477.6570000000002</v>
      </c>
      <c r="AM39" s="11">
        <f t="shared" ref="AM39:AN39" si="69">SUM(AM40:AM47)</f>
        <v>2456.9250000000002</v>
      </c>
      <c r="AN39" s="21">
        <f t="shared" si="69"/>
        <v>2424.2660000000001</v>
      </c>
    </row>
    <row r="40" spans="1:40" ht="14.25" customHeight="1" x14ac:dyDescent="0.3">
      <c r="A40" s="22" t="s">
        <v>74</v>
      </c>
      <c r="B40" s="12">
        <v>0.74860446068018549</v>
      </c>
      <c r="C40" s="12">
        <v>0.67359264547835163</v>
      </c>
      <c r="D40" s="12">
        <v>0.57599999999999996</v>
      </c>
      <c r="E40" s="12">
        <v>0.222</v>
      </c>
      <c r="F40" s="12">
        <v>0.22</v>
      </c>
      <c r="G40" s="12">
        <v>0.19700000000000001</v>
      </c>
      <c r="H40" s="12">
        <v>0.156</v>
      </c>
      <c r="I40" s="12">
        <v>7.0999999999999994E-2</v>
      </c>
      <c r="J40" s="12">
        <v>0.13500000000000001</v>
      </c>
      <c r="K40" s="12">
        <v>0.624</v>
      </c>
      <c r="L40" s="12">
        <v>0.20699999999999999</v>
      </c>
      <c r="M40" s="12">
        <v>0.17199999999999999</v>
      </c>
      <c r="N40" s="12">
        <v>0.09</v>
      </c>
      <c r="O40" s="12">
        <v>6.0999999999999999E-2</v>
      </c>
      <c r="P40" s="55">
        <v>3.9E-2</v>
      </c>
      <c r="Q40" s="12">
        <v>1.4999999999999999E-2</v>
      </c>
      <c r="R40" s="12">
        <v>1.7000000000000001E-2</v>
      </c>
      <c r="S40" s="28">
        <v>3.0000000000000001E-3</v>
      </c>
      <c r="T40" s="56"/>
      <c r="U40" s="99" t="s">
        <v>103</v>
      </c>
      <c r="V40" s="75"/>
      <c r="W40" s="12">
        <v>4.3188977636051415</v>
      </c>
      <c r="X40" s="12">
        <v>0.15607839575628224</v>
      </c>
      <c r="Y40" s="12">
        <v>0.156</v>
      </c>
      <c r="Z40" s="12">
        <v>1.006</v>
      </c>
      <c r="AA40" s="12">
        <v>3.8460000000000001</v>
      </c>
      <c r="AB40" s="12">
        <v>7.9459999999999997</v>
      </c>
      <c r="AC40" s="12">
        <v>14.412000000000001</v>
      </c>
      <c r="AD40" s="12">
        <v>7.8</v>
      </c>
      <c r="AE40" s="12">
        <v>7.9</v>
      </c>
      <c r="AF40" s="12">
        <v>4.2</v>
      </c>
      <c r="AG40" s="12">
        <v>0</v>
      </c>
      <c r="AH40" s="12">
        <v>34.945999999999998</v>
      </c>
      <c r="AI40" s="12">
        <v>0.3</v>
      </c>
      <c r="AJ40" s="12">
        <v>40</v>
      </c>
      <c r="AK40" s="12">
        <v>40</v>
      </c>
      <c r="AL40" s="12">
        <v>75</v>
      </c>
      <c r="AM40" s="12">
        <v>50</v>
      </c>
      <c r="AN40" s="28">
        <v>32</v>
      </c>
    </row>
    <row r="41" spans="1:40" ht="14.25" customHeight="1" x14ac:dyDescent="0.3">
      <c r="A41" s="2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0"/>
      <c r="Q41" s="14"/>
      <c r="R41" s="14"/>
      <c r="S41" s="25"/>
      <c r="T41" s="56"/>
      <c r="U41" s="99" t="s">
        <v>104</v>
      </c>
      <c r="V41" s="75"/>
      <c r="W41" s="12">
        <v>49.486942730329154</v>
      </c>
      <c r="X41" s="12">
        <v>49.042422040691392</v>
      </c>
      <c r="Y41" s="12">
        <v>71.635999999999996</v>
      </c>
      <c r="Z41" s="12">
        <v>77.61</v>
      </c>
      <c r="AA41" s="12">
        <v>64.656000000000006</v>
      </c>
      <c r="AB41" s="12">
        <v>70.951999999999998</v>
      </c>
      <c r="AC41" s="12">
        <v>90.784000000000006</v>
      </c>
      <c r="AD41" s="12">
        <v>98.921999999999997</v>
      </c>
      <c r="AE41" s="12">
        <v>112.652</v>
      </c>
      <c r="AF41" s="12">
        <v>136.91300000000001</v>
      </c>
      <c r="AG41" s="12">
        <v>131.614</v>
      </c>
      <c r="AH41" s="12">
        <v>142.178</v>
      </c>
      <c r="AI41" s="12">
        <v>170.58699999999999</v>
      </c>
      <c r="AJ41" s="12">
        <v>212.404</v>
      </c>
      <c r="AK41" s="12">
        <v>247.048</v>
      </c>
      <c r="AL41" s="12">
        <v>241.881</v>
      </c>
      <c r="AM41" s="12">
        <v>253.989</v>
      </c>
      <c r="AN41" s="28">
        <v>251.36699999999999</v>
      </c>
    </row>
    <row r="42" spans="1:40" ht="14.25" customHeight="1" x14ac:dyDescent="0.3">
      <c r="A42" s="20" t="s">
        <v>75</v>
      </c>
      <c r="B42" s="11">
        <f t="shared" ref="B42:G42" si="70">B43+B49</f>
        <v>539.4395641914449</v>
      </c>
      <c r="C42" s="11">
        <f t="shared" si="70"/>
        <v>536.55026380276263</v>
      </c>
      <c r="D42" s="11">
        <f t="shared" si="70"/>
        <v>627.86599999999999</v>
      </c>
      <c r="E42" s="11">
        <f t="shared" si="70"/>
        <v>612.77499999999998</v>
      </c>
      <c r="F42" s="11">
        <f t="shared" si="70"/>
        <v>643.44600000000003</v>
      </c>
      <c r="G42" s="11">
        <f t="shared" si="70"/>
        <v>694.92499999999995</v>
      </c>
      <c r="H42" s="11">
        <f t="shared" ref="H42:M42" si="71">H43+H49</f>
        <v>763.55899999999997</v>
      </c>
      <c r="I42" s="11">
        <f t="shared" si="71"/>
        <v>780.49400000000003</v>
      </c>
      <c r="J42" s="11">
        <f t="shared" si="71"/>
        <v>825.66899999999998</v>
      </c>
      <c r="K42" s="11">
        <f t="shared" si="71"/>
        <v>859.51300000000003</v>
      </c>
      <c r="L42" s="11">
        <f t="shared" si="71"/>
        <v>863.26599999999996</v>
      </c>
      <c r="M42" s="11">
        <f t="shared" si="71"/>
        <v>963.85400000000004</v>
      </c>
      <c r="N42" s="11">
        <f t="shared" ref="N42:O42" si="72">N43+N49</f>
        <v>1050.595</v>
      </c>
      <c r="O42" s="11">
        <f t="shared" si="72"/>
        <v>1078.7950000000001</v>
      </c>
      <c r="P42" s="48">
        <f t="shared" ref="P42:Q42" si="73">P43+P49</f>
        <v>1089.2099999999998</v>
      </c>
      <c r="Q42" s="11">
        <f t="shared" si="73"/>
        <v>1043.106</v>
      </c>
      <c r="R42" s="11">
        <f t="shared" ref="R42:S42" si="74">R43+R49</f>
        <v>1114.3510000000001</v>
      </c>
      <c r="S42" s="21">
        <f t="shared" si="74"/>
        <v>1047.7339999999999</v>
      </c>
      <c r="T42" s="56"/>
      <c r="U42" s="99" t="s">
        <v>105</v>
      </c>
      <c r="V42" s="75"/>
      <c r="W42" s="12">
        <v>86.776392469890141</v>
      </c>
      <c r="X42" s="12">
        <v>50.56536371480037</v>
      </c>
      <c r="Y42" s="12">
        <v>13.161</v>
      </c>
      <c r="Z42" s="12">
        <v>14.292</v>
      </c>
      <c r="AA42" s="12">
        <v>12.404999999999999</v>
      </c>
      <c r="AB42" s="12">
        <v>10.79</v>
      </c>
      <c r="AC42" s="12">
        <v>8.19</v>
      </c>
      <c r="AD42" s="12">
        <v>5.7759999999999998</v>
      </c>
      <c r="AE42" s="12">
        <v>4.66</v>
      </c>
      <c r="AF42" s="12">
        <v>6.4509999999999996</v>
      </c>
      <c r="AG42" s="12">
        <v>5.2279999999999998</v>
      </c>
      <c r="AH42" s="12">
        <v>4.2530000000000001</v>
      </c>
      <c r="AI42" s="12">
        <v>7.9290000000000003</v>
      </c>
      <c r="AJ42" s="12">
        <v>6.2060000000000004</v>
      </c>
      <c r="AK42" s="12">
        <v>5.2060000000000004</v>
      </c>
      <c r="AL42" s="12">
        <v>4.742</v>
      </c>
      <c r="AM42" s="12">
        <v>5.55</v>
      </c>
      <c r="AN42" s="28">
        <v>4.516</v>
      </c>
    </row>
    <row r="43" spans="1:40" ht="14.25" customHeight="1" x14ac:dyDescent="0.3">
      <c r="A43" s="20" t="s">
        <v>12</v>
      </c>
      <c r="B43" s="14"/>
      <c r="C43" s="14">
        <f t="shared" ref="C43:H43" si="75">SUM(C44:C47)</f>
        <v>46.951341550995416</v>
      </c>
      <c r="D43" s="14">
        <f t="shared" si="75"/>
        <v>37.318999999999996</v>
      </c>
      <c r="E43" s="14">
        <f t="shared" si="75"/>
        <v>32.177999999999997</v>
      </c>
      <c r="F43" s="14">
        <f t="shared" si="75"/>
        <v>49.862000000000002</v>
      </c>
      <c r="G43" s="14">
        <f t="shared" si="75"/>
        <v>60.03</v>
      </c>
      <c r="H43" s="14">
        <f t="shared" si="75"/>
        <v>50.93</v>
      </c>
      <c r="I43" s="14">
        <f t="shared" ref="I43:N43" si="76">SUM(I44:I47)</f>
        <v>47.753999999999998</v>
      </c>
      <c r="J43" s="14">
        <f t="shared" si="76"/>
        <v>36.791000000000004</v>
      </c>
      <c r="K43" s="14">
        <f t="shared" si="76"/>
        <v>44.094000000000001</v>
      </c>
      <c r="L43" s="14">
        <f t="shared" si="76"/>
        <v>35.998000000000005</v>
      </c>
      <c r="M43" s="14">
        <f t="shared" si="76"/>
        <v>29.338999999999999</v>
      </c>
      <c r="N43" s="14">
        <f t="shared" si="76"/>
        <v>27.238999999999997</v>
      </c>
      <c r="O43" s="14">
        <f t="shared" ref="O43:P43" si="77">SUM(O44:O47)</f>
        <v>31.765000000000001</v>
      </c>
      <c r="P43" s="50">
        <f t="shared" si="77"/>
        <v>33.763999999999996</v>
      </c>
      <c r="Q43" s="14">
        <f t="shared" ref="Q43:R43" si="78">SUM(Q44:Q47)</f>
        <v>38.436000000000007</v>
      </c>
      <c r="R43" s="14">
        <f t="shared" si="78"/>
        <v>61.942</v>
      </c>
      <c r="S43" s="25">
        <f t="shared" ref="S43" si="79">SUM(S44:S47)</f>
        <v>75.36099999999999</v>
      </c>
      <c r="T43" s="56"/>
      <c r="U43" s="99" t="s">
        <v>106</v>
      </c>
      <c r="V43" s="75"/>
      <c r="W43" s="12">
        <v>0.75550016566510758</v>
      </c>
      <c r="X43" s="12">
        <v>0.94420701915492289</v>
      </c>
      <c r="Y43" s="12">
        <v>1.66</v>
      </c>
      <c r="Z43" s="12">
        <v>2.403</v>
      </c>
      <c r="AA43" s="12">
        <v>2.7949999999999999</v>
      </c>
      <c r="AB43" s="12">
        <v>3.246</v>
      </c>
      <c r="AC43" s="12">
        <v>3.3109999999999999</v>
      </c>
      <c r="AD43" s="12">
        <v>3.3029999999999999</v>
      </c>
      <c r="AE43" s="12">
        <v>3.335</v>
      </c>
      <c r="AF43" s="12">
        <v>10.183999999999999</v>
      </c>
      <c r="AG43" s="12">
        <v>19.940000000000001</v>
      </c>
      <c r="AH43" s="12">
        <v>25.077000000000002</v>
      </c>
      <c r="AI43" s="12">
        <v>35.517000000000003</v>
      </c>
      <c r="AJ43" s="12">
        <v>42.695999999999998</v>
      </c>
      <c r="AK43" s="12">
        <v>42.936999999999998</v>
      </c>
      <c r="AL43" s="12">
        <v>47.826000000000001</v>
      </c>
      <c r="AM43" s="12">
        <v>34.825000000000003</v>
      </c>
      <c r="AN43" s="28">
        <v>60.774000000000001</v>
      </c>
    </row>
    <row r="44" spans="1:40" ht="14.25" customHeight="1" x14ac:dyDescent="0.3">
      <c r="A44" s="22" t="s">
        <v>76</v>
      </c>
      <c r="B44" s="12"/>
      <c r="C44" s="12">
        <v>3.9250016398322827</v>
      </c>
      <c r="D44" s="12">
        <v>0.47</v>
      </c>
      <c r="E44" s="12">
        <v>0.40799999999999997</v>
      </c>
      <c r="F44" s="12">
        <v>2.2770000000000001</v>
      </c>
      <c r="G44" s="12">
        <v>1.105</v>
      </c>
      <c r="H44" s="12">
        <v>0.48199999999999998</v>
      </c>
      <c r="I44" s="12">
        <v>0.442</v>
      </c>
      <c r="J44" s="12">
        <v>4.7E-2</v>
      </c>
      <c r="K44" s="12">
        <v>7.7110000000000003</v>
      </c>
      <c r="L44" s="12">
        <v>6.7720000000000002</v>
      </c>
      <c r="M44" s="12">
        <v>4.2939999999999996</v>
      </c>
      <c r="N44" s="12">
        <v>4.83</v>
      </c>
      <c r="O44" s="12">
        <v>4.367</v>
      </c>
      <c r="P44" s="55">
        <v>5.4489999999999998</v>
      </c>
      <c r="Q44" s="12">
        <v>8.2270000000000003</v>
      </c>
      <c r="R44" s="12">
        <v>9.51</v>
      </c>
      <c r="S44" s="28">
        <v>10.518000000000001</v>
      </c>
      <c r="T44" s="56"/>
      <c r="U44" s="99" t="s">
        <v>107</v>
      </c>
      <c r="V44" s="75"/>
      <c r="W44" s="12">
        <v>73.916743612643018</v>
      </c>
      <c r="X44" s="12">
        <v>72.046325682464555</v>
      </c>
      <c r="Y44" s="12">
        <v>77.347999999999999</v>
      </c>
      <c r="Z44" s="12">
        <v>80.463999999999999</v>
      </c>
      <c r="AA44" s="12">
        <v>80.165000000000006</v>
      </c>
      <c r="AB44" s="12">
        <v>34.667999999999999</v>
      </c>
      <c r="AC44" s="12">
        <v>32.935000000000002</v>
      </c>
      <c r="AD44" s="12">
        <v>41.298999999999999</v>
      </c>
      <c r="AE44" s="12">
        <v>32.110999999999997</v>
      </c>
      <c r="AF44" s="12">
        <v>38.340000000000003</v>
      </c>
      <c r="AG44" s="12">
        <v>40.363999999999997</v>
      </c>
      <c r="AH44" s="12">
        <v>54.975000000000001</v>
      </c>
      <c r="AI44" s="12">
        <v>48.948</v>
      </c>
      <c r="AJ44" s="12">
        <v>50.390999999999998</v>
      </c>
      <c r="AK44" s="12">
        <v>52.744999999999997</v>
      </c>
      <c r="AL44" s="12">
        <v>60.131</v>
      </c>
      <c r="AM44" s="12">
        <v>57.962000000000003</v>
      </c>
      <c r="AN44" s="28">
        <v>59.05</v>
      </c>
    </row>
    <row r="45" spans="1:40" ht="14.25" customHeight="1" x14ac:dyDescent="0.3">
      <c r="A45" s="22" t="s">
        <v>79</v>
      </c>
      <c r="B45" s="12"/>
      <c r="C45" s="12">
        <v>4.6552736165281638</v>
      </c>
      <c r="D45" s="12">
        <v>6.7939999999999996</v>
      </c>
      <c r="E45" s="12">
        <v>4.7770000000000001</v>
      </c>
      <c r="F45" s="12">
        <v>17.821000000000002</v>
      </c>
      <c r="G45" s="12">
        <v>17.393000000000001</v>
      </c>
      <c r="H45" s="12">
        <v>16.09</v>
      </c>
      <c r="I45" s="12">
        <v>22.353000000000002</v>
      </c>
      <c r="J45" s="12">
        <v>21.181000000000001</v>
      </c>
      <c r="K45" s="12">
        <v>25.731000000000002</v>
      </c>
      <c r="L45" s="12">
        <v>21.626000000000001</v>
      </c>
      <c r="M45" s="12">
        <v>17.861999999999998</v>
      </c>
      <c r="N45" s="12">
        <v>14.32</v>
      </c>
      <c r="O45" s="12">
        <v>9.8010000000000002</v>
      </c>
      <c r="P45" s="55">
        <v>8.2349999999999994</v>
      </c>
      <c r="Q45" s="12">
        <v>10.238</v>
      </c>
      <c r="R45" s="12">
        <v>31.707999999999998</v>
      </c>
      <c r="S45" s="28">
        <v>36.048000000000002</v>
      </c>
      <c r="T45" s="56"/>
      <c r="U45" s="99" t="s">
        <v>108</v>
      </c>
      <c r="V45" s="75"/>
      <c r="W45" s="12">
        <v>252.57739587905942</v>
      </c>
      <c r="X45" s="12">
        <v>277.77463826981716</v>
      </c>
      <c r="Y45" s="12">
        <v>257.19600000000003</v>
      </c>
      <c r="Z45" s="12">
        <v>289.68700000000001</v>
      </c>
      <c r="AA45" s="12">
        <v>328.505</v>
      </c>
      <c r="AB45" s="12">
        <v>368.19900000000001</v>
      </c>
      <c r="AC45" s="12">
        <v>406.39</v>
      </c>
      <c r="AD45" s="12">
        <v>420.23500000000001</v>
      </c>
      <c r="AE45" s="12">
        <v>421.49099999999999</v>
      </c>
      <c r="AF45" s="12">
        <v>429.97699999999998</v>
      </c>
      <c r="AG45" s="12">
        <v>437.78100000000001</v>
      </c>
      <c r="AH45" s="12">
        <v>532.44600000000003</v>
      </c>
      <c r="AI45" s="12">
        <v>565.65700000000004</v>
      </c>
      <c r="AJ45" s="12">
        <v>588.95100000000002</v>
      </c>
      <c r="AK45" s="12">
        <v>584.91700000000003</v>
      </c>
      <c r="AL45" s="12">
        <v>591.25599999999997</v>
      </c>
      <c r="AM45" s="12">
        <v>630.48</v>
      </c>
      <c r="AN45" s="28">
        <v>648.47</v>
      </c>
    </row>
    <row r="46" spans="1:40" ht="14.25" customHeight="1" x14ac:dyDescent="0.3">
      <c r="A46" s="22" t="s">
        <v>78</v>
      </c>
      <c r="B46" s="12"/>
      <c r="C46" s="12">
        <v>37.073160066131493</v>
      </c>
      <c r="D46" s="12">
        <v>29.963999999999999</v>
      </c>
      <c r="E46" s="12">
        <v>24.940999999999999</v>
      </c>
      <c r="F46" s="12">
        <v>27.8</v>
      </c>
      <c r="G46" s="12">
        <v>39.243000000000002</v>
      </c>
      <c r="H46" s="12">
        <v>32.338000000000001</v>
      </c>
      <c r="I46" s="12">
        <v>22.895</v>
      </c>
      <c r="J46" s="12">
        <v>14.776</v>
      </c>
      <c r="K46" s="12">
        <v>10.535</v>
      </c>
      <c r="L46" s="12">
        <v>7.2590000000000003</v>
      </c>
      <c r="M46" s="12">
        <v>5.3109999999999999</v>
      </c>
      <c r="N46" s="12">
        <v>7.532</v>
      </c>
      <c r="O46" s="12">
        <v>17.116</v>
      </c>
      <c r="P46" s="55">
        <v>19.725000000000001</v>
      </c>
      <c r="Q46" s="12">
        <v>18.917000000000002</v>
      </c>
      <c r="R46" s="12">
        <v>20.327000000000002</v>
      </c>
      <c r="S46" s="28">
        <v>19.314</v>
      </c>
      <c r="T46" s="56"/>
      <c r="U46" s="99" t="s">
        <v>109</v>
      </c>
      <c r="V46" s="75"/>
      <c r="W46" s="12">
        <v>51.88917088397892</v>
      </c>
      <c r="X46" s="12">
        <v>128.93235986161497</v>
      </c>
      <c r="Y46" s="12">
        <v>124.82599999999999</v>
      </c>
      <c r="Z46" s="12">
        <v>130.35</v>
      </c>
      <c r="AA46" s="12">
        <v>138.137</v>
      </c>
      <c r="AB46" s="12">
        <v>179.483</v>
      </c>
      <c r="AC46" s="12">
        <v>184.726</v>
      </c>
      <c r="AD46" s="12">
        <v>183.24799999999999</v>
      </c>
      <c r="AE46" s="12">
        <v>183.255</v>
      </c>
      <c r="AF46" s="12">
        <v>187.892</v>
      </c>
      <c r="AG46" s="12">
        <v>173.715</v>
      </c>
      <c r="AH46" s="12">
        <v>185.24299999999999</v>
      </c>
      <c r="AI46" s="12">
        <v>194.82900000000001</v>
      </c>
      <c r="AJ46" s="12">
        <v>182.36099999999999</v>
      </c>
      <c r="AK46" s="12">
        <v>202.517</v>
      </c>
      <c r="AL46" s="12">
        <v>219.85599999999999</v>
      </c>
      <c r="AM46" s="12">
        <v>205.33</v>
      </c>
      <c r="AN46" s="28">
        <v>194.7</v>
      </c>
    </row>
    <row r="47" spans="1:40" ht="14.25" customHeight="1" x14ac:dyDescent="0.3">
      <c r="A47" s="22" t="s">
        <v>77</v>
      </c>
      <c r="B47" s="13"/>
      <c r="C47" s="13">
        <v>1.2979062285034806</v>
      </c>
      <c r="D47" s="13">
        <v>9.0999999999999998E-2</v>
      </c>
      <c r="E47" s="13">
        <v>2.052</v>
      </c>
      <c r="F47" s="13">
        <v>1.964</v>
      </c>
      <c r="G47" s="13">
        <v>2.2890000000000001</v>
      </c>
      <c r="H47" s="13">
        <v>2.02</v>
      </c>
      <c r="I47" s="13">
        <v>2.0640000000000001</v>
      </c>
      <c r="J47" s="13">
        <v>0.78700000000000003</v>
      </c>
      <c r="K47" s="13">
        <v>0.11700000000000001</v>
      </c>
      <c r="L47" s="13">
        <v>0.34100000000000003</v>
      </c>
      <c r="M47" s="13">
        <v>1.8720000000000001</v>
      </c>
      <c r="N47" s="13">
        <v>0.55700000000000005</v>
      </c>
      <c r="O47" s="13">
        <v>0.48099999999999998</v>
      </c>
      <c r="P47" s="49">
        <v>0.35499999999999998</v>
      </c>
      <c r="Q47" s="13">
        <v>1.054</v>
      </c>
      <c r="R47" s="13">
        <v>0.39700000000000002</v>
      </c>
      <c r="S47" s="23">
        <v>9.4809999999999999</v>
      </c>
      <c r="T47" s="56"/>
      <c r="U47" s="99" t="s">
        <v>110</v>
      </c>
      <c r="V47" s="75"/>
      <c r="W47" s="12">
        <v>587.68998928642907</v>
      </c>
      <c r="X47" s="12">
        <v>539.4844703678101</v>
      </c>
      <c r="Y47" s="12">
        <v>562.07399999999996</v>
      </c>
      <c r="Z47" s="12">
        <v>588.06500000000005</v>
      </c>
      <c r="AA47" s="12">
        <v>616.99800000000005</v>
      </c>
      <c r="AB47" s="12">
        <v>644.89300000000003</v>
      </c>
      <c r="AC47" s="12">
        <v>707.53899999999999</v>
      </c>
      <c r="AD47" s="12">
        <v>748.31700000000001</v>
      </c>
      <c r="AE47" s="12">
        <v>790.21799999999996</v>
      </c>
      <c r="AF47" s="12">
        <v>835.38499999999999</v>
      </c>
      <c r="AG47" s="12">
        <v>856.39599999999996</v>
      </c>
      <c r="AH47" s="12">
        <v>927.57399999999996</v>
      </c>
      <c r="AI47" s="12">
        <v>1041.18</v>
      </c>
      <c r="AJ47" s="12">
        <v>1174.9459999999999</v>
      </c>
      <c r="AK47" s="12">
        <v>1189.133</v>
      </c>
      <c r="AL47" s="12">
        <v>1236.9649999999999</v>
      </c>
      <c r="AM47" s="12">
        <v>1218.789</v>
      </c>
      <c r="AN47" s="28">
        <v>1173.3889999999999</v>
      </c>
    </row>
    <row r="48" spans="1:40" ht="14.25" customHeight="1" x14ac:dyDescent="0.3">
      <c r="A48" s="2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50"/>
      <c r="Q48" s="14"/>
      <c r="R48" s="14"/>
      <c r="S48" s="25"/>
      <c r="T48" s="79"/>
      <c r="U48" s="87"/>
      <c r="V48" s="73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25"/>
    </row>
    <row r="49" spans="1:40" ht="14.25" customHeight="1" x14ac:dyDescent="0.3">
      <c r="A49" s="20" t="s">
        <v>13</v>
      </c>
      <c r="B49" s="11">
        <f t="shared" ref="B49:G49" si="80">SUM(B50:B53)</f>
        <v>539.4395641914449</v>
      </c>
      <c r="C49" s="11">
        <f t="shared" si="80"/>
        <v>489.59892225176719</v>
      </c>
      <c r="D49" s="11">
        <f t="shared" si="80"/>
        <v>590.54700000000003</v>
      </c>
      <c r="E49" s="11">
        <f t="shared" si="80"/>
        <v>580.59699999999998</v>
      </c>
      <c r="F49" s="11">
        <f t="shared" si="80"/>
        <v>593.58400000000006</v>
      </c>
      <c r="G49" s="11">
        <f t="shared" si="80"/>
        <v>634.89499999999998</v>
      </c>
      <c r="H49" s="11">
        <f t="shared" ref="H49:M49" si="81">SUM(H50:H53)</f>
        <v>712.62900000000002</v>
      </c>
      <c r="I49" s="11">
        <f t="shared" si="81"/>
        <v>732.74</v>
      </c>
      <c r="J49" s="11">
        <f t="shared" si="81"/>
        <v>788.87799999999993</v>
      </c>
      <c r="K49" s="11">
        <f t="shared" si="81"/>
        <v>815.41899999999998</v>
      </c>
      <c r="L49" s="11">
        <f t="shared" si="81"/>
        <v>827.26799999999992</v>
      </c>
      <c r="M49" s="11">
        <f t="shared" si="81"/>
        <v>934.5150000000001</v>
      </c>
      <c r="N49" s="11">
        <f t="shared" ref="N49:O49" si="82">SUM(N50:N53)</f>
        <v>1023.356</v>
      </c>
      <c r="O49" s="11">
        <f t="shared" si="82"/>
        <v>1047.03</v>
      </c>
      <c r="P49" s="48">
        <f t="shared" ref="P49:Q49" si="83">SUM(P50:P53)</f>
        <v>1055.4459999999999</v>
      </c>
      <c r="Q49" s="11">
        <f t="shared" si="83"/>
        <v>1004.67</v>
      </c>
      <c r="R49" s="11">
        <f t="shared" ref="R49:S49" si="84">SUM(R50:R53)</f>
        <v>1052.4090000000001</v>
      </c>
      <c r="S49" s="21">
        <f t="shared" si="84"/>
        <v>972.37299999999993</v>
      </c>
      <c r="T49" s="56"/>
      <c r="U49" s="89" t="s">
        <v>5</v>
      </c>
      <c r="V49" s="71"/>
      <c r="W49" s="10">
        <f t="shared" ref="W49:AB49" si="85">W7+W15+W19+W23+W28</f>
        <v>4288.1030954747675</v>
      </c>
      <c r="X49" s="10">
        <f t="shared" si="85"/>
        <v>4349.9709875826848</v>
      </c>
      <c r="Y49" s="10">
        <f t="shared" si="85"/>
        <v>4421.1890000000003</v>
      </c>
      <c r="Z49" s="10">
        <f t="shared" si="85"/>
        <v>4674.3710000000001</v>
      </c>
      <c r="AA49" s="10">
        <f t="shared" si="85"/>
        <v>4862.0249999999996</v>
      </c>
      <c r="AB49" s="10">
        <f t="shared" si="85"/>
        <v>5092.9970000000003</v>
      </c>
      <c r="AC49" s="10">
        <f t="shared" ref="AC49:AH49" si="86">AC7+AC15+AC19+AC23+AC28</f>
        <v>5395.1890000000003</v>
      </c>
      <c r="AD49" s="10">
        <f t="shared" si="86"/>
        <v>5628.1</v>
      </c>
      <c r="AE49" s="10">
        <f t="shared" si="86"/>
        <v>5798.9570000000003</v>
      </c>
      <c r="AF49" s="10">
        <f t="shared" si="86"/>
        <v>6101.2369999999992</v>
      </c>
      <c r="AG49" s="10">
        <f t="shared" si="86"/>
        <v>6291.9340000000002</v>
      </c>
      <c r="AH49" s="10">
        <f t="shared" si="86"/>
        <v>8423.09</v>
      </c>
      <c r="AI49" s="10">
        <f t="shared" ref="AI49:AJ49" si="87">AI7+AI15+AI19+AI23+AI28</f>
        <v>8775.9009999999998</v>
      </c>
      <c r="AJ49" s="10">
        <f t="shared" si="87"/>
        <v>9140.0949999999993</v>
      </c>
      <c r="AK49" s="10">
        <f t="shared" ref="AK49:AL49" si="88">AK7+AK15+AK19+AK23+AK28</f>
        <v>9267.3029999999999</v>
      </c>
      <c r="AL49" s="10">
        <f t="shared" si="88"/>
        <v>9462.5279999999984</v>
      </c>
      <c r="AM49" s="10">
        <f t="shared" ref="AM49:AN49" si="89">AM7+AM15+AM19+AM23+AM28</f>
        <v>9598.1689999999999</v>
      </c>
      <c r="AN49" s="19">
        <f t="shared" si="89"/>
        <v>9850.9609999999993</v>
      </c>
    </row>
    <row r="50" spans="1:40" ht="14.25" customHeight="1" x14ac:dyDescent="0.3">
      <c r="A50" s="22" t="s">
        <v>76</v>
      </c>
      <c r="B50" s="12">
        <v>346.9229177914234</v>
      </c>
      <c r="C50" s="12">
        <v>339.21923800778035</v>
      </c>
      <c r="D50" s="12">
        <v>410.11</v>
      </c>
      <c r="E50" s="12">
        <v>382.62599999999998</v>
      </c>
      <c r="F50" s="12">
        <v>378.42500000000001</v>
      </c>
      <c r="G50" s="12">
        <v>397.52300000000002</v>
      </c>
      <c r="H50" s="12">
        <v>442.63</v>
      </c>
      <c r="I50" s="12">
        <v>460.01100000000002</v>
      </c>
      <c r="J50" s="12">
        <v>501.733</v>
      </c>
      <c r="K50" s="12">
        <v>551.07399999999996</v>
      </c>
      <c r="L50" s="12">
        <v>561.70100000000002</v>
      </c>
      <c r="M50" s="12">
        <v>583.40700000000004</v>
      </c>
      <c r="N50" s="12">
        <v>677.89099999999996</v>
      </c>
      <c r="O50" s="12">
        <v>685.58399999999995</v>
      </c>
      <c r="P50" s="55">
        <v>713.70399999999995</v>
      </c>
      <c r="Q50" s="12">
        <v>684.20799999999997</v>
      </c>
      <c r="R50" s="12">
        <v>735.74</v>
      </c>
      <c r="S50" s="28">
        <v>644.68200000000002</v>
      </c>
      <c r="T50" s="56"/>
      <c r="U50" s="24"/>
      <c r="V50" s="73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25"/>
    </row>
    <row r="51" spans="1:40" ht="14.25" customHeight="1" x14ac:dyDescent="0.3">
      <c r="A51" s="22" t="s">
        <v>79</v>
      </c>
      <c r="B51" s="12">
        <v>9.3906046860520078</v>
      </c>
      <c r="C51" s="12">
        <v>2.349921708520232</v>
      </c>
      <c r="D51" s="12">
        <v>4.6360000000000001</v>
      </c>
      <c r="E51" s="12">
        <v>2.2549999999999999</v>
      </c>
      <c r="F51" s="12">
        <v>1.8160000000000001</v>
      </c>
      <c r="G51" s="12">
        <f>1.335</f>
        <v>1.335</v>
      </c>
      <c r="H51" s="12">
        <v>4.1479999999999997</v>
      </c>
      <c r="I51" s="12">
        <v>4.4850000000000003</v>
      </c>
      <c r="J51" s="12">
        <v>8.2859999999999996</v>
      </c>
      <c r="K51" s="12">
        <v>14.448</v>
      </c>
      <c r="L51" s="12">
        <v>13.084</v>
      </c>
      <c r="M51" s="12">
        <v>26.512</v>
      </c>
      <c r="N51" s="12">
        <v>23.257000000000001</v>
      </c>
      <c r="O51" s="12">
        <v>27.651</v>
      </c>
      <c r="P51" s="55">
        <v>27.164000000000001</v>
      </c>
      <c r="Q51" s="12">
        <v>42.106000000000002</v>
      </c>
      <c r="R51" s="12">
        <v>46.064999999999998</v>
      </c>
      <c r="S51" s="28">
        <v>52.625</v>
      </c>
      <c r="T51" s="56"/>
      <c r="U51" s="24" t="s">
        <v>27</v>
      </c>
      <c r="V51" s="73"/>
      <c r="W51" s="37"/>
      <c r="X51" s="37"/>
      <c r="Y51" s="37"/>
      <c r="Z51" s="37"/>
      <c r="AA51" s="37"/>
      <c r="AB51" s="37"/>
      <c r="AC51" s="37"/>
      <c r="AD51" s="37"/>
      <c r="AE51" s="37"/>
      <c r="AF51" s="14">
        <v>61.884999999999998</v>
      </c>
      <c r="AG51" s="14">
        <v>76.156999999999996</v>
      </c>
      <c r="AH51" s="14">
        <v>101.702</v>
      </c>
      <c r="AI51" s="14">
        <v>123.742</v>
      </c>
      <c r="AJ51" s="14">
        <v>149.74199999999999</v>
      </c>
      <c r="AK51" s="14">
        <v>186.73599999999999</v>
      </c>
      <c r="AL51" s="14">
        <v>207.31200000000001</v>
      </c>
      <c r="AM51" s="14">
        <v>350.54399999999998</v>
      </c>
      <c r="AN51" s="25">
        <v>393.47300000000001</v>
      </c>
    </row>
    <row r="52" spans="1:40" ht="14.25" customHeight="1" x14ac:dyDescent="0.3">
      <c r="A52" s="22" t="s">
        <v>78</v>
      </c>
      <c r="B52" s="12">
        <v>35.099642937032122</v>
      </c>
      <c r="C52" s="12">
        <v>86.169906807069935</v>
      </c>
      <c r="D52" s="12">
        <v>110.72499999999999</v>
      </c>
      <c r="E52" s="12">
        <v>110.03700000000001</v>
      </c>
      <c r="F52" s="12">
        <v>116.148</v>
      </c>
      <c r="G52" s="12">
        <v>120.355</v>
      </c>
      <c r="H52" s="12">
        <v>138.364</v>
      </c>
      <c r="I52" s="12">
        <v>136.79900000000001</v>
      </c>
      <c r="J52" s="12">
        <v>143.42400000000001</v>
      </c>
      <c r="K52" s="12">
        <v>142.124</v>
      </c>
      <c r="L52" s="12">
        <v>148.07400000000001</v>
      </c>
      <c r="M52" s="12">
        <v>184.547</v>
      </c>
      <c r="N52" s="12">
        <v>169.05600000000001</v>
      </c>
      <c r="O52" s="12">
        <v>170.816</v>
      </c>
      <c r="P52" s="55">
        <v>165.19200000000001</v>
      </c>
      <c r="Q52" s="12">
        <v>164.136</v>
      </c>
      <c r="R52" s="12">
        <v>160.096</v>
      </c>
      <c r="S52" s="28">
        <v>170.87700000000001</v>
      </c>
      <c r="T52" s="56"/>
      <c r="U52" s="24" t="s">
        <v>28</v>
      </c>
      <c r="V52" s="73"/>
      <c r="W52" s="37"/>
      <c r="X52" s="37"/>
      <c r="Y52" s="37"/>
      <c r="Z52" s="37"/>
      <c r="AA52" s="37"/>
      <c r="AB52" s="37"/>
      <c r="AC52" s="37"/>
      <c r="AD52" s="37"/>
      <c r="AE52" s="37"/>
      <c r="AF52" s="14">
        <v>17.18</v>
      </c>
      <c r="AG52" s="14">
        <v>27.824999999999999</v>
      </c>
      <c r="AH52" s="14">
        <v>27.268000000000001</v>
      </c>
      <c r="AI52" s="14">
        <v>31.966000000000001</v>
      </c>
      <c r="AJ52" s="14">
        <v>30.617999999999999</v>
      </c>
      <c r="AK52" s="14">
        <v>36.276000000000003</v>
      </c>
      <c r="AL52" s="14">
        <v>52.11</v>
      </c>
      <c r="AM52" s="14">
        <v>10.327999999999999</v>
      </c>
      <c r="AN52" s="25">
        <v>9.0779999999999994</v>
      </c>
    </row>
    <row r="53" spans="1:40" ht="14.25" customHeight="1" x14ac:dyDescent="0.3">
      <c r="A53" s="22" t="s">
        <v>77</v>
      </c>
      <c r="B53" s="13">
        <v>148.02639877693738</v>
      </c>
      <c r="C53" s="13">
        <v>61.859855728396681</v>
      </c>
      <c r="D53" s="13">
        <v>65.075999999999993</v>
      </c>
      <c r="E53" s="13">
        <v>85.679000000000002</v>
      </c>
      <c r="F53" s="13">
        <v>97.194999999999993</v>
      </c>
      <c r="G53" s="13">
        <v>115.682</v>
      </c>
      <c r="H53" s="13">
        <v>127.48699999999999</v>
      </c>
      <c r="I53" s="13">
        <v>131.44499999999999</v>
      </c>
      <c r="J53" s="13">
        <v>135.435</v>
      </c>
      <c r="K53" s="13">
        <v>107.773</v>
      </c>
      <c r="L53" s="13">
        <v>104.40900000000001</v>
      </c>
      <c r="M53" s="13">
        <v>140.04900000000001</v>
      </c>
      <c r="N53" s="13">
        <v>153.15199999999999</v>
      </c>
      <c r="O53" s="13">
        <v>162.97900000000001</v>
      </c>
      <c r="P53" s="49">
        <v>149.386</v>
      </c>
      <c r="Q53" s="13">
        <v>114.22</v>
      </c>
      <c r="R53" s="13">
        <v>110.508</v>
      </c>
      <c r="S53" s="23">
        <v>104.18899999999999</v>
      </c>
      <c r="T53" s="56"/>
      <c r="U53" s="29" t="s">
        <v>29</v>
      </c>
      <c r="V53" s="74"/>
      <c r="W53" s="37"/>
      <c r="X53" s="37"/>
      <c r="Y53" s="37"/>
      <c r="Z53" s="37"/>
      <c r="AA53" s="37"/>
      <c r="AB53" s="37"/>
      <c r="AC53" s="37"/>
      <c r="AD53" s="37"/>
      <c r="AE53" s="37"/>
      <c r="AF53" s="16">
        <f t="shared" ref="AF53:AK53" si="90">AF51+AF52</f>
        <v>79.064999999999998</v>
      </c>
      <c r="AG53" s="16">
        <f t="shared" si="90"/>
        <v>103.982</v>
      </c>
      <c r="AH53" s="16">
        <f t="shared" si="90"/>
        <v>128.97</v>
      </c>
      <c r="AI53" s="16">
        <f t="shared" si="90"/>
        <v>155.708</v>
      </c>
      <c r="AJ53" s="16">
        <f t="shared" si="90"/>
        <v>180.35999999999999</v>
      </c>
      <c r="AK53" s="16">
        <f t="shared" si="90"/>
        <v>223.012</v>
      </c>
      <c r="AL53" s="16">
        <f t="shared" ref="AL53:AM53" si="91">AL51+AL52</f>
        <v>259.42200000000003</v>
      </c>
      <c r="AM53" s="16">
        <f t="shared" si="91"/>
        <v>360.87199999999996</v>
      </c>
      <c r="AN53" s="30">
        <f t="shared" ref="AN53" si="92">AN51+AN52</f>
        <v>402.55099999999999</v>
      </c>
    </row>
    <row r="54" spans="1:40" ht="14.25" customHeight="1" x14ac:dyDescent="0.3">
      <c r="A54" s="2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50"/>
      <c r="Q54" s="14"/>
      <c r="R54" s="14"/>
      <c r="S54" s="25"/>
      <c r="T54" s="56"/>
      <c r="U54" s="24"/>
      <c r="V54" s="73"/>
      <c r="W54" s="37"/>
      <c r="X54" s="37"/>
      <c r="Y54" s="37"/>
      <c r="Z54" s="37"/>
      <c r="AA54" s="37"/>
      <c r="AB54" s="37"/>
      <c r="AC54" s="37"/>
      <c r="AD54" s="37"/>
      <c r="AE54" s="37"/>
      <c r="AF54" s="14"/>
      <c r="AG54" s="14"/>
      <c r="AH54" s="14"/>
      <c r="AI54" s="14"/>
      <c r="AJ54" s="14"/>
      <c r="AK54" s="14"/>
      <c r="AL54" s="14"/>
      <c r="AM54" s="14"/>
      <c r="AN54" s="25"/>
    </row>
    <row r="55" spans="1:40" ht="14.25" customHeight="1" x14ac:dyDescent="0.3">
      <c r="A55" s="20" t="s">
        <v>80</v>
      </c>
      <c r="B55" s="14">
        <f t="shared" ref="B55:G55" si="93">SUM(B56:B59)</f>
        <v>116.93198312065969</v>
      </c>
      <c r="C55" s="14">
        <f t="shared" si="93"/>
        <v>122.39153140152681</v>
      </c>
      <c r="D55" s="14">
        <f t="shared" si="93"/>
        <v>99.55</v>
      </c>
      <c r="E55" s="14">
        <f t="shared" si="93"/>
        <v>110.34499999999998</v>
      </c>
      <c r="F55" s="14">
        <f t="shared" si="93"/>
        <v>210.12100000000001</v>
      </c>
      <c r="G55" s="14">
        <f t="shared" si="93"/>
        <v>149.18199999999999</v>
      </c>
      <c r="H55" s="14">
        <f t="shared" ref="H55:M55" si="94">SUM(H56:H59)</f>
        <v>212.26400000000001</v>
      </c>
      <c r="I55" s="14">
        <f t="shared" si="94"/>
        <v>168.74799999999999</v>
      </c>
      <c r="J55" s="14">
        <f t="shared" si="94"/>
        <v>152.05199999999999</v>
      </c>
      <c r="K55" s="14">
        <f t="shared" si="94"/>
        <v>152.09899999999999</v>
      </c>
      <c r="L55" s="14">
        <f t="shared" si="94"/>
        <v>140.727</v>
      </c>
      <c r="M55" s="14">
        <f t="shared" si="94"/>
        <v>108.11399999999999</v>
      </c>
      <c r="N55" s="14">
        <f t="shared" ref="N55:O55" si="95">SUM(N56:N59)</f>
        <v>131.75400000000002</v>
      </c>
      <c r="O55" s="14">
        <f t="shared" si="95"/>
        <v>142.03099999999998</v>
      </c>
      <c r="P55" s="50">
        <f t="shared" ref="P55:Q55" si="96">SUM(P56:P59)</f>
        <v>142.74600000000001</v>
      </c>
      <c r="Q55" s="14">
        <f t="shared" si="96"/>
        <v>147.78300000000002</v>
      </c>
      <c r="R55" s="14">
        <f t="shared" ref="R55:S55" si="97">SUM(R56:R59)</f>
        <v>143.86599999999999</v>
      </c>
      <c r="S55" s="25">
        <f t="shared" si="97"/>
        <v>148.511</v>
      </c>
      <c r="T55" s="56"/>
      <c r="U55" s="127" t="s">
        <v>120</v>
      </c>
      <c r="V55" s="56"/>
      <c r="W55" s="73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9"/>
    </row>
    <row r="56" spans="1:40" ht="14.25" customHeight="1" x14ac:dyDescent="0.3">
      <c r="A56" s="22" t="s">
        <v>59</v>
      </c>
      <c r="B56" s="12">
        <v>8.6761423744435078</v>
      </c>
      <c r="C56" s="12">
        <v>6.4917175855614024</v>
      </c>
      <c r="D56" s="12">
        <v>7.7779999999999996</v>
      </c>
      <c r="E56" s="12">
        <v>5.9269999999999996</v>
      </c>
      <c r="F56" s="12">
        <v>6.36</v>
      </c>
      <c r="G56" s="12">
        <v>16.14</v>
      </c>
      <c r="H56" s="12">
        <v>21.411000000000001</v>
      </c>
      <c r="I56" s="12">
        <v>18.291</v>
      </c>
      <c r="J56" s="12">
        <v>11.391999999999999</v>
      </c>
      <c r="K56" s="12">
        <v>10.388</v>
      </c>
      <c r="L56" s="12">
        <v>0.81100000000000005</v>
      </c>
      <c r="M56" s="12">
        <v>0.54400000000000004</v>
      </c>
      <c r="N56" s="12">
        <v>0.34</v>
      </c>
      <c r="O56" s="12">
        <v>0.33600000000000002</v>
      </c>
      <c r="P56" s="55">
        <v>0.64200000000000002</v>
      </c>
      <c r="Q56" s="12">
        <v>0.93700000000000006</v>
      </c>
      <c r="R56" s="12">
        <v>2.7429999999999999</v>
      </c>
      <c r="S56" s="28">
        <v>3.4159999999999999</v>
      </c>
      <c r="T56" s="56"/>
      <c r="U56" s="18" t="s">
        <v>6</v>
      </c>
      <c r="V56" s="71"/>
      <c r="W56" s="44">
        <f t="shared" ref="W56:AN56" si="98">100*(W7+W15)/(W49-W34-W44)</f>
        <v>66.423866502912546</v>
      </c>
      <c r="X56" s="44">
        <f t="shared" si="98"/>
        <v>67.294369101599827</v>
      </c>
      <c r="Y56" s="44">
        <f t="shared" si="98"/>
        <v>67.189769853479078</v>
      </c>
      <c r="Z56" s="44">
        <f t="shared" si="98"/>
        <v>64.976681792637692</v>
      </c>
      <c r="AA56" s="44">
        <f t="shared" si="98"/>
        <v>63.456860425027692</v>
      </c>
      <c r="AB56" s="44">
        <f t="shared" si="98"/>
        <v>60.782491225856631</v>
      </c>
      <c r="AC56" s="44">
        <f t="shared" si="98"/>
        <v>58.276083685692683</v>
      </c>
      <c r="AD56" s="44">
        <f t="shared" si="98"/>
        <v>57.305707162976169</v>
      </c>
      <c r="AE56" s="44">
        <f t="shared" si="98"/>
        <v>56.245086535946257</v>
      </c>
      <c r="AF56" s="44">
        <f t="shared" si="98"/>
        <v>55.088210048450833</v>
      </c>
      <c r="AG56" s="44">
        <f t="shared" si="98"/>
        <v>53.945957725064275</v>
      </c>
      <c r="AH56" s="44">
        <f t="shared" si="98"/>
        <v>46.888211630124616</v>
      </c>
      <c r="AI56" s="44">
        <f t="shared" si="98"/>
        <v>45.426021435435743</v>
      </c>
      <c r="AJ56" s="44">
        <f t="shared" si="98"/>
        <v>42.749724829913866</v>
      </c>
      <c r="AK56" s="44">
        <f t="shared" si="98"/>
        <v>41.201691723121108</v>
      </c>
      <c r="AL56" s="44">
        <f t="shared" si="98"/>
        <v>40.73550334032015</v>
      </c>
      <c r="AM56" s="44">
        <f t="shared" si="98"/>
        <v>41.135117584964881</v>
      </c>
      <c r="AN56" s="46">
        <f t="shared" si="98"/>
        <v>41.480580647816588</v>
      </c>
    </row>
    <row r="57" spans="1:40" ht="14.25" customHeight="1" x14ac:dyDescent="0.3">
      <c r="A57" s="22" t="s">
        <v>81</v>
      </c>
      <c r="B57" s="13">
        <v>99.908842143857854</v>
      </c>
      <c r="C57" s="13">
        <v>110.17200579239218</v>
      </c>
      <c r="D57" s="13">
        <v>85.286000000000001</v>
      </c>
      <c r="E57" s="13">
        <v>98.082999999999998</v>
      </c>
      <c r="F57" s="13">
        <v>192.054</v>
      </c>
      <c r="G57" s="13">
        <v>120.684</v>
      </c>
      <c r="H57" s="13">
        <v>182.75200000000001</v>
      </c>
      <c r="I57" s="13">
        <v>127.04300000000001</v>
      </c>
      <c r="J57" s="13">
        <v>110.57299999999999</v>
      </c>
      <c r="K57" s="13">
        <v>114.294</v>
      </c>
      <c r="L57" s="13">
        <v>109.705</v>
      </c>
      <c r="M57" s="13">
        <v>75.405000000000001</v>
      </c>
      <c r="N57" s="13">
        <v>104.864</v>
      </c>
      <c r="O57" s="13">
        <v>124.893</v>
      </c>
      <c r="P57" s="49">
        <v>125.557</v>
      </c>
      <c r="Q57" s="13">
        <v>119.206</v>
      </c>
      <c r="R57" s="13">
        <v>108.572</v>
      </c>
      <c r="S57" s="23">
        <v>110.81100000000001</v>
      </c>
      <c r="T57" s="56"/>
      <c r="U57" s="40" t="s">
        <v>115</v>
      </c>
      <c r="V57" s="76"/>
      <c r="W57" s="14">
        <f t="shared" ref="W57:AN57" si="99">B55+B61</f>
        <v>451.16949474665012</v>
      </c>
      <c r="X57" s="14">
        <f t="shared" si="99"/>
        <v>490.02712871253823</v>
      </c>
      <c r="Y57" s="14">
        <f t="shared" si="99"/>
        <v>416.93799999999999</v>
      </c>
      <c r="Z57" s="14">
        <f t="shared" si="99"/>
        <v>519.98900000000003</v>
      </c>
      <c r="AA57" s="14">
        <f t="shared" si="99"/>
        <v>543.95900000000006</v>
      </c>
      <c r="AB57" s="14">
        <f t="shared" si="99"/>
        <v>583.88900000000001</v>
      </c>
      <c r="AC57" s="14">
        <f t="shared" si="99"/>
        <v>648.05999999999995</v>
      </c>
      <c r="AD57" s="14">
        <f t="shared" si="99"/>
        <v>596.97699999999998</v>
      </c>
      <c r="AE57" s="14">
        <f t="shared" si="99"/>
        <v>575.21199999999999</v>
      </c>
      <c r="AF57" s="14">
        <f t="shared" si="99"/>
        <v>632.34999999999991</v>
      </c>
      <c r="AG57" s="14">
        <f t="shared" si="99"/>
        <v>672.86099999999999</v>
      </c>
      <c r="AH57" s="14">
        <f t="shared" si="99"/>
        <v>749.755</v>
      </c>
      <c r="AI57" s="14">
        <f t="shared" si="99"/>
        <v>745.13</v>
      </c>
      <c r="AJ57" s="14">
        <f t="shared" si="99"/>
        <v>827.22499999999991</v>
      </c>
      <c r="AK57" s="14">
        <f t="shared" si="99"/>
        <v>811.34500000000003</v>
      </c>
      <c r="AL57" s="14">
        <f t="shared" si="99"/>
        <v>962.97300000000007</v>
      </c>
      <c r="AM57" s="14">
        <f t="shared" si="99"/>
        <v>959.87099999999998</v>
      </c>
      <c r="AN57" s="25">
        <f t="shared" si="99"/>
        <v>1047.135</v>
      </c>
    </row>
    <row r="58" spans="1:40" ht="14.25" customHeight="1" x14ac:dyDescent="0.3">
      <c r="A58" s="22" t="s">
        <v>82</v>
      </c>
      <c r="B58" s="13">
        <v>0.59992633368820991</v>
      </c>
      <c r="C58" s="13">
        <v>1.5385831512699029</v>
      </c>
      <c r="D58" s="13">
        <v>1.49</v>
      </c>
      <c r="E58" s="13">
        <v>2.9790000000000001</v>
      </c>
      <c r="F58" s="13">
        <v>3.7330000000000001</v>
      </c>
      <c r="G58" s="13">
        <v>5.593</v>
      </c>
      <c r="H58" s="13">
        <v>3.0979999999999999</v>
      </c>
      <c r="I58" s="13">
        <v>1.351</v>
      </c>
      <c r="J58" s="13">
        <v>3.851</v>
      </c>
      <c r="K58" s="13">
        <v>2.2429999999999999</v>
      </c>
      <c r="L58" s="13">
        <v>2.2429999999999999</v>
      </c>
      <c r="M58" s="13">
        <v>3.0139999999999998</v>
      </c>
      <c r="N58" s="13">
        <v>5.0060000000000002</v>
      </c>
      <c r="O58" s="13">
        <v>9.1790000000000003</v>
      </c>
      <c r="P58" s="49">
        <v>12.028</v>
      </c>
      <c r="Q58" s="13">
        <v>12.798999999999999</v>
      </c>
      <c r="R58" s="13">
        <v>17.588000000000001</v>
      </c>
      <c r="S58" s="23">
        <v>17.481000000000002</v>
      </c>
      <c r="T58" s="56"/>
      <c r="U58" s="96" t="s">
        <v>113</v>
      </c>
      <c r="V58" s="73"/>
      <c r="W58" s="73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9"/>
    </row>
    <row r="59" spans="1:40" ht="14.25" customHeight="1" x14ac:dyDescent="0.3">
      <c r="A59" s="22" t="s">
        <v>83</v>
      </c>
      <c r="B59" s="13">
        <v>7.747072268670121</v>
      </c>
      <c r="C59" s="13">
        <v>4.189224872303317</v>
      </c>
      <c r="D59" s="13">
        <v>4.9960000000000004</v>
      </c>
      <c r="E59" s="13">
        <v>3.3559999999999999</v>
      </c>
      <c r="F59" s="13">
        <v>7.9740000000000002</v>
      </c>
      <c r="G59" s="13">
        <v>6.7649999999999997</v>
      </c>
      <c r="H59" s="13">
        <v>5.0030000000000001</v>
      </c>
      <c r="I59" s="13">
        <v>22.062999999999999</v>
      </c>
      <c r="J59" s="13">
        <v>26.236000000000001</v>
      </c>
      <c r="K59" s="13">
        <v>25.173999999999999</v>
      </c>
      <c r="L59" s="13">
        <v>27.968</v>
      </c>
      <c r="M59" s="13">
        <v>29.151</v>
      </c>
      <c r="N59" s="13">
        <v>21.544</v>
      </c>
      <c r="O59" s="13">
        <v>7.6230000000000002</v>
      </c>
      <c r="P59" s="49">
        <v>4.5190000000000001</v>
      </c>
      <c r="Q59" s="13">
        <v>14.840999999999999</v>
      </c>
      <c r="R59" s="13">
        <v>14.962999999999999</v>
      </c>
      <c r="S59" s="23">
        <v>16.803000000000001</v>
      </c>
      <c r="T59" s="56"/>
      <c r="U59" s="87" t="s">
        <v>38</v>
      </c>
      <c r="V59" s="73"/>
      <c r="W59" s="124">
        <f>W12+W13</f>
        <v>89.395078484895876</v>
      </c>
      <c r="X59" s="14">
        <f t="shared" ref="X59:AM59" si="100">X12+X13</f>
        <v>67.47127770685853</v>
      </c>
      <c r="Y59" s="14">
        <f t="shared" si="100"/>
        <v>60.89</v>
      </c>
      <c r="Z59" s="14">
        <f t="shared" si="100"/>
        <v>79.587000000000003</v>
      </c>
      <c r="AA59" s="14">
        <f t="shared" si="100"/>
        <v>143.95599999999999</v>
      </c>
      <c r="AB59" s="14">
        <f t="shared" si="100"/>
        <v>146.19</v>
      </c>
      <c r="AC59" s="14">
        <f t="shared" si="100"/>
        <v>181.38400000000001</v>
      </c>
      <c r="AD59" s="14">
        <f t="shared" si="100"/>
        <v>224.14099999999999</v>
      </c>
      <c r="AE59" s="14">
        <f t="shared" si="100"/>
        <v>230.82900000000001</v>
      </c>
      <c r="AF59" s="14">
        <f t="shared" si="100"/>
        <v>297.77999999999997</v>
      </c>
      <c r="AG59" s="14">
        <f t="shared" si="100"/>
        <v>395.81</v>
      </c>
      <c r="AH59" s="14">
        <f t="shared" si="100"/>
        <v>425.76</v>
      </c>
      <c r="AI59" s="14">
        <f t="shared" si="100"/>
        <v>451.43599999999998</v>
      </c>
      <c r="AJ59" s="14">
        <f t="shared" si="100"/>
        <v>387.32299999999998</v>
      </c>
      <c r="AK59" s="14">
        <f t="shared" si="100"/>
        <v>369.81200000000001</v>
      </c>
      <c r="AL59" s="14">
        <f t="shared" si="100"/>
        <v>442.50700000000001</v>
      </c>
      <c r="AM59" s="14">
        <f t="shared" si="100"/>
        <v>589.72</v>
      </c>
      <c r="AN59" s="25">
        <f t="shared" ref="AN59" si="101">AN12+AN13</f>
        <v>754.02100000000007</v>
      </c>
    </row>
    <row r="60" spans="1:40" ht="14.25" customHeight="1" x14ac:dyDescent="0.3">
      <c r="A60" s="2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50"/>
      <c r="Q60" s="14"/>
      <c r="R60" s="14"/>
      <c r="S60" s="25"/>
      <c r="T60" s="78"/>
      <c r="U60" s="87" t="s">
        <v>39</v>
      </c>
      <c r="V60" s="56"/>
      <c r="W60" s="14">
        <f>1000000*W59/5171302</f>
        <v>17.286764239430585</v>
      </c>
      <c r="X60" s="14">
        <f>1000000*X59/5181115</f>
        <v>13.022540072331637</v>
      </c>
      <c r="Y60" s="14">
        <f>1000000*Y59/5168893</f>
        <v>11.780085213603764</v>
      </c>
      <c r="Z60" s="14">
        <f>1000000*Z59/5206295</f>
        <v>15.286686597666863</v>
      </c>
      <c r="AA60" s="14">
        <f>1000000*AA59/5219732</f>
        <v>27.579193721056942</v>
      </c>
      <c r="AB60" s="14">
        <f>1000000*AB59/5236611</f>
        <v>27.916910383452198</v>
      </c>
      <c r="AC60" s="14">
        <f>1000000*AC59/5255580</f>
        <v>34.512651315363861</v>
      </c>
      <c r="AD60" s="14">
        <f>1000000*AD59/5276955</f>
        <v>42.475442750601438</v>
      </c>
      <c r="AE60" s="14">
        <f>1000000*AE59/5300484</f>
        <v>43.548664612514628</v>
      </c>
      <c r="AF60" s="14">
        <f>1000000*AF59/5326314</f>
        <v>55.907331036059837</v>
      </c>
      <c r="AG60" s="14">
        <f>1000000*AG59/5351427</f>
        <v>73.963449375278785</v>
      </c>
      <c r="AH60" s="14">
        <f>1000000*AH59/5375276</f>
        <v>79.207095598439963</v>
      </c>
      <c r="AI60" s="14">
        <f>1000000*AI59/5401267</f>
        <v>83.57964899717048</v>
      </c>
      <c r="AJ60" s="14">
        <f>1000000*AJ59/5426674</f>
        <v>71.373920747772942</v>
      </c>
      <c r="AK60" s="14">
        <f>1000000*AK59/5451270</f>
        <v>67.839604349078286</v>
      </c>
      <c r="AL60" s="14">
        <f>1000000*AL59/5471753</f>
        <v>80.87115774414525</v>
      </c>
      <c r="AM60" s="14">
        <f>1000000*AM59/5487308</f>
        <v>107.46981944516328</v>
      </c>
      <c r="AN60" s="25">
        <f>1000000*AN59/5503297</f>
        <v>137.0125944501996</v>
      </c>
    </row>
    <row r="61" spans="1:40" ht="14.25" customHeight="1" x14ac:dyDescent="0.3">
      <c r="A61" s="20" t="s">
        <v>84</v>
      </c>
      <c r="B61" s="11">
        <v>334.23751162599041</v>
      </c>
      <c r="C61" s="11">
        <v>367.63559731101145</v>
      </c>
      <c r="D61" s="11">
        <v>317.38799999999998</v>
      </c>
      <c r="E61" s="11">
        <v>409.64400000000001</v>
      </c>
      <c r="F61" s="11">
        <v>333.83800000000002</v>
      </c>
      <c r="G61" s="11">
        <v>434.70699999999999</v>
      </c>
      <c r="H61" s="11">
        <v>435.79599999999999</v>
      </c>
      <c r="I61" s="11">
        <v>428.22899999999998</v>
      </c>
      <c r="J61" s="11">
        <v>423.16</v>
      </c>
      <c r="K61" s="11">
        <v>480.25099999999998</v>
      </c>
      <c r="L61" s="11">
        <v>532.13400000000001</v>
      </c>
      <c r="M61" s="11">
        <v>641.64099999999996</v>
      </c>
      <c r="N61" s="11">
        <v>613.37599999999998</v>
      </c>
      <c r="O61" s="11">
        <v>685.19399999999996</v>
      </c>
      <c r="P61" s="48">
        <v>668.59900000000005</v>
      </c>
      <c r="Q61" s="11">
        <v>815.19</v>
      </c>
      <c r="R61" s="11">
        <v>816.005</v>
      </c>
      <c r="S61" s="21">
        <v>898.62400000000002</v>
      </c>
      <c r="T61" s="56"/>
      <c r="U61" s="40" t="s">
        <v>7</v>
      </c>
      <c r="V61" s="76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25"/>
    </row>
    <row r="62" spans="1:40" ht="14.25" customHeight="1" x14ac:dyDescent="0.3">
      <c r="A62" s="2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48"/>
      <c r="Q62" s="11"/>
      <c r="R62" s="11"/>
      <c r="S62" s="21"/>
      <c r="T62" s="56"/>
      <c r="U62" s="24" t="s">
        <v>40</v>
      </c>
      <c r="V62" s="37"/>
      <c r="W62" s="11">
        <f t="shared" ref="W62:AN62" si="102">W28-(W34+W35+W36+W37+W44+W45+W46+W47)</f>
        <v>317.77712745112899</v>
      </c>
      <c r="X62" s="11">
        <f t="shared" si="102"/>
        <v>259.12125172182391</v>
      </c>
      <c r="Y62" s="11">
        <f t="shared" si="102"/>
        <v>292.84699999999998</v>
      </c>
      <c r="Z62" s="11">
        <f t="shared" si="102"/>
        <v>374.23099999999999</v>
      </c>
      <c r="AA62" s="11">
        <f t="shared" si="102"/>
        <v>414.95299999999997</v>
      </c>
      <c r="AB62" s="11">
        <f t="shared" si="102"/>
        <v>493.99500000000012</v>
      </c>
      <c r="AC62" s="11">
        <f t="shared" si="102"/>
        <v>629.20299999999975</v>
      </c>
      <c r="AD62" s="11">
        <f t="shared" si="102"/>
        <v>711.2180000000003</v>
      </c>
      <c r="AE62" s="11">
        <f t="shared" si="102"/>
        <v>824.13400000000001</v>
      </c>
      <c r="AF62" s="11">
        <f t="shared" si="102"/>
        <v>930.91699999999992</v>
      </c>
      <c r="AG62" s="11">
        <f t="shared" si="102"/>
        <v>1055.5730000000001</v>
      </c>
      <c r="AH62" s="11">
        <f t="shared" si="102"/>
        <v>2356.569</v>
      </c>
      <c r="AI62" s="11">
        <f t="shared" si="102"/>
        <v>2498.6</v>
      </c>
      <c r="AJ62" s="11">
        <f t="shared" si="102"/>
        <v>2745.9369999999999</v>
      </c>
      <c r="AK62" s="11">
        <f t="shared" si="102"/>
        <v>2914.2560000000003</v>
      </c>
      <c r="AL62" s="11">
        <f t="shared" si="102"/>
        <v>2999.1259999999993</v>
      </c>
      <c r="AM62" s="11">
        <f t="shared" si="102"/>
        <v>3046.7019999999998</v>
      </c>
      <c r="AN62" s="21">
        <f t="shared" si="102"/>
        <v>3175.99</v>
      </c>
    </row>
    <row r="63" spans="1:40" ht="14.25" customHeight="1" x14ac:dyDescent="0.3">
      <c r="A63" s="31" t="s">
        <v>8</v>
      </c>
      <c r="B63" s="32">
        <f>B7+B28+B29+B34</f>
        <v>4288.0835490343488</v>
      </c>
      <c r="C63" s="32">
        <f t="shared" ref="C63:M63" si="103">C7+C29+C34</f>
        <v>4349.9719967102446</v>
      </c>
      <c r="D63" s="32">
        <f t="shared" si="103"/>
        <v>4421.1880000000001</v>
      </c>
      <c r="E63" s="32">
        <f t="shared" si="103"/>
        <v>4674.3709999999992</v>
      </c>
      <c r="F63" s="32">
        <f t="shared" si="103"/>
        <v>4862.3590000000004</v>
      </c>
      <c r="G63" s="32">
        <f t="shared" si="103"/>
        <v>5092.9969999999994</v>
      </c>
      <c r="H63" s="32">
        <f t="shared" si="103"/>
        <v>5395.19</v>
      </c>
      <c r="I63" s="32">
        <f t="shared" si="103"/>
        <v>5628.0990000000002</v>
      </c>
      <c r="J63" s="32">
        <f t="shared" si="103"/>
        <v>5798.9570000000003</v>
      </c>
      <c r="K63" s="32">
        <f t="shared" si="103"/>
        <v>6101.2619999999997</v>
      </c>
      <c r="L63" s="32">
        <f t="shared" si="103"/>
        <v>6291.9339999999984</v>
      </c>
      <c r="M63" s="32">
        <f t="shared" si="103"/>
        <v>8423.09</v>
      </c>
      <c r="N63" s="32">
        <f t="shared" ref="N63:O63" si="104">N7+N29+N34</f>
        <v>8775.902</v>
      </c>
      <c r="O63" s="32">
        <f t="shared" si="104"/>
        <v>9139.9069999999992</v>
      </c>
      <c r="P63" s="52">
        <f t="shared" ref="P63:Q63" si="105">P7+P29+P34</f>
        <v>9267.3050000000003</v>
      </c>
      <c r="Q63" s="32">
        <f t="shared" si="105"/>
        <v>9462.5280000000002</v>
      </c>
      <c r="R63" s="32">
        <f t="shared" ref="R63:S63" si="106">R7+R29+R34</f>
        <v>9598.1319999999996</v>
      </c>
      <c r="S63" s="33">
        <f t="shared" si="106"/>
        <v>9850.7479999999996</v>
      </c>
      <c r="T63" s="56"/>
      <c r="U63" s="24" t="s">
        <v>41</v>
      </c>
      <c r="V63" s="37"/>
      <c r="W63" s="14">
        <f>1000000*W62/5171302</f>
        <v>61.450119805636767</v>
      </c>
      <c r="X63" s="14">
        <f>1000000*X62/5181115</f>
        <v>50.012642398754686</v>
      </c>
      <c r="Y63" s="14">
        <f>1000000*Y62/5168893</f>
        <v>56.65565141317493</v>
      </c>
      <c r="Z63" s="14">
        <f>1000000*Z62/5206295</f>
        <v>71.880483145883971</v>
      </c>
      <c r="AA63" s="14">
        <f>1000000*AA62/5219732</f>
        <v>79.496993332224719</v>
      </c>
      <c r="AB63" s="14">
        <f>1000000*AB62/5236611</f>
        <v>94.334866576875797</v>
      </c>
      <c r="AC63" s="14">
        <f>1000000*AC62/5255580</f>
        <v>119.72094421548141</v>
      </c>
      <c r="AD63" s="14">
        <f>1000000*AD62/5276955</f>
        <v>134.77810593419886</v>
      </c>
      <c r="AE63" s="14">
        <f>1000000*AE62/5300484</f>
        <v>155.48278232704786</v>
      </c>
      <c r="AF63" s="14">
        <f>1000000*AF62/5326314</f>
        <v>174.77696583415846</v>
      </c>
      <c r="AG63" s="14">
        <f>1000000*AG62/5351427</f>
        <v>197.25075199568266</v>
      </c>
      <c r="AH63" s="14">
        <f>1000000*AH62/5375276</f>
        <v>438.40893007168376</v>
      </c>
      <c r="AI63" s="14">
        <f>1000000*AI62/5401267</f>
        <v>462.59516517143106</v>
      </c>
      <c r="AJ63" s="14">
        <f>1000000*AJ62/5426674</f>
        <v>506.00736288931307</v>
      </c>
      <c r="AK63" s="14">
        <f>1000000*AK62/5451270</f>
        <v>534.60129474416067</v>
      </c>
      <c r="AL63" s="14">
        <f>1000000*AL62/5471753</f>
        <v>548.11063291782352</v>
      </c>
      <c r="AM63" s="14">
        <f>1000000*AM62/5487308</f>
        <v>555.22708038258463</v>
      </c>
      <c r="AN63" s="25">
        <f>1000000*AN62/5503297</f>
        <v>577.10677799144764</v>
      </c>
    </row>
    <row r="64" spans="1:40" ht="14.25" customHeight="1" x14ac:dyDescent="0.3">
      <c r="U64" s="129" t="s">
        <v>114</v>
      </c>
      <c r="V64" s="130"/>
      <c r="W64" s="128">
        <f>B24+B25</f>
        <v>38.43497770669034</v>
      </c>
      <c r="X64" s="41">
        <f t="shared" ref="X64:AN64" si="107">C24+C25</f>
        <v>15.247076473368283</v>
      </c>
      <c r="Y64" s="41">
        <f t="shared" si="107"/>
        <v>13.734</v>
      </c>
      <c r="Z64" s="41">
        <f t="shared" si="107"/>
        <v>22.277999999999999</v>
      </c>
      <c r="AA64" s="41">
        <f t="shared" si="107"/>
        <v>21.381999999999998</v>
      </c>
      <c r="AB64" s="41">
        <f t="shared" si="107"/>
        <v>20.484999999999999</v>
      </c>
      <c r="AC64" s="41">
        <f t="shared" si="107"/>
        <v>20.181999999999999</v>
      </c>
      <c r="AD64" s="41">
        <f t="shared" si="107"/>
        <v>19.445</v>
      </c>
      <c r="AE64" s="41">
        <f t="shared" si="107"/>
        <v>15.805</v>
      </c>
      <c r="AF64" s="41">
        <f t="shared" si="107"/>
        <v>17.977999999999998</v>
      </c>
      <c r="AG64" s="41">
        <f t="shared" si="107"/>
        <v>29.497</v>
      </c>
      <c r="AH64" s="41">
        <f t="shared" si="107"/>
        <v>47.251000000000005</v>
      </c>
      <c r="AI64" s="41">
        <f t="shared" si="107"/>
        <v>79.765999999999991</v>
      </c>
      <c r="AJ64" s="41">
        <f t="shared" si="107"/>
        <v>71.030999999999992</v>
      </c>
      <c r="AK64" s="41">
        <f t="shared" si="107"/>
        <v>74.183999999999997</v>
      </c>
      <c r="AL64" s="41">
        <f t="shared" si="107"/>
        <v>75.125</v>
      </c>
      <c r="AM64" s="41">
        <f t="shared" si="107"/>
        <v>92.592000000000013</v>
      </c>
      <c r="AN64" s="42">
        <f t="shared" si="107"/>
        <v>96.75</v>
      </c>
    </row>
    <row r="65" ht="14.25" customHeight="1" x14ac:dyDescent="0.3"/>
  </sheetData>
  <phoneticPr fontId="7" type="noConversion"/>
  <pageMargins left="0.27559055118110237" right="0.23622047244094491" top="0.51181102362204722" bottom="0.51181102362204722" header="0.39370078740157483" footer="0.27559055118110237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>
    <tabColor rgb="FFFF0000"/>
    <pageSetUpPr fitToPage="1"/>
  </sheetPr>
  <dimension ref="A1:AP67"/>
  <sheetViews>
    <sheetView zoomScale="105" zoomScaleNormal="105" workbookViewId="0">
      <pane xSplit="10" ySplit="5" topLeftCell="L6" activePane="bottomRight" state="frozen"/>
      <selection pane="topRight" activeCell="K1" sqref="K1"/>
      <selection pane="bottomLeft" activeCell="A6" sqref="A6"/>
      <selection pane="bottomRight" activeCell="A4" sqref="A4"/>
    </sheetView>
  </sheetViews>
  <sheetFormatPr defaultColWidth="9.6640625" defaultRowHeight="13.8" x14ac:dyDescent="0.3"/>
  <cols>
    <col min="1" max="1" width="21.6640625" style="1" customWidth="1"/>
    <col min="2" max="11" width="6" style="1" hidden="1" customWidth="1"/>
    <col min="12" max="19" width="5.5546875" style="1" customWidth="1"/>
    <col min="20" max="20" width="1.6640625" style="1" customWidth="1"/>
    <col min="21" max="21" width="25.21875" style="1" customWidth="1"/>
    <col min="22" max="31" width="5.88671875" style="1" hidden="1" customWidth="1"/>
    <col min="32" max="32" width="5.88671875" style="1" customWidth="1"/>
    <col min="33" max="38" width="5.5546875" style="1" customWidth="1"/>
    <col min="39" max="39" width="6.109375" style="1" customWidth="1"/>
    <col min="40" max="16384" width="9.6640625" style="1"/>
  </cols>
  <sheetData>
    <row r="1" spans="1:42" ht="11.25" customHeight="1" x14ac:dyDescent="0.3">
      <c r="A1" s="7">
        <v>42905</v>
      </c>
    </row>
    <row r="2" spans="1:42" ht="18.75" customHeight="1" x14ac:dyDescent="0.3">
      <c r="A2" s="8" t="s">
        <v>163</v>
      </c>
    </row>
    <row r="3" spans="1:42" ht="12.75" customHeight="1" x14ac:dyDescent="0.3">
      <c r="A3" s="3" t="s">
        <v>15</v>
      </c>
    </row>
    <row r="4" spans="1:42" ht="8.25" customHeight="1" x14ac:dyDescent="0.3"/>
    <row r="5" spans="1:42" ht="16.5" customHeight="1" x14ac:dyDescent="0.3">
      <c r="A5" s="34" t="s">
        <v>0</v>
      </c>
      <c r="B5" s="35" t="s">
        <v>18</v>
      </c>
      <c r="C5" s="35">
        <v>2000</v>
      </c>
      <c r="D5" s="35" t="s">
        <v>14</v>
      </c>
      <c r="E5" s="35" t="s">
        <v>19</v>
      </c>
      <c r="F5" s="35" t="s">
        <v>20</v>
      </c>
      <c r="G5" s="35" t="s">
        <v>22</v>
      </c>
      <c r="H5" s="35" t="s">
        <v>24</v>
      </c>
      <c r="I5" s="35" t="s">
        <v>25</v>
      </c>
      <c r="J5" s="35" t="s">
        <v>26</v>
      </c>
      <c r="K5" s="35" t="s">
        <v>30</v>
      </c>
      <c r="L5" s="35" t="s">
        <v>32</v>
      </c>
      <c r="M5" s="35" t="s">
        <v>34</v>
      </c>
      <c r="N5" s="35" t="s">
        <v>35</v>
      </c>
      <c r="O5" s="35" t="s">
        <v>36</v>
      </c>
      <c r="P5" s="35" t="s">
        <v>37</v>
      </c>
      <c r="Q5" s="53" t="s">
        <v>42</v>
      </c>
      <c r="R5" s="35" t="s">
        <v>117</v>
      </c>
      <c r="S5" s="35" t="s">
        <v>116</v>
      </c>
      <c r="U5" s="34" t="s">
        <v>1</v>
      </c>
      <c r="V5" s="35" t="s">
        <v>18</v>
      </c>
      <c r="W5" s="35">
        <v>2000</v>
      </c>
      <c r="X5" s="35" t="s">
        <v>14</v>
      </c>
      <c r="Y5" s="35" t="s">
        <v>19</v>
      </c>
      <c r="Z5" s="35" t="s">
        <v>20</v>
      </c>
      <c r="AA5" s="35" t="s">
        <v>22</v>
      </c>
      <c r="AB5" s="35" t="s">
        <v>24</v>
      </c>
      <c r="AC5" s="35" t="s">
        <v>25</v>
      </c>
      <c r="AD5" s="35" t="s">
        <v>26</v>
      </c>
      <c r="AE5" s="35" t="s">
        <v>30</v>
      </c>
      <c r="AF5" s="35" t="s">
        <v>32</v>
      </c>
      <c r="AG5" s="35" t="s">
        <v>34</v>
      </c>
      <c r="AH5" s="35" t="s">
        <v>35</v>
      </c>
      <c r="AI5" s="35" t="s">
        <v>36</v>
      </c>
      <c r="AJ5" s="35" t="s">
        <v>37</v>
      </c>
      <c r="AK5" s="53" t="s">
        <v>42</v>
      </c>
      <c r="AL5" s="35" t="s">
        <v>117</v>
      </c>
      <c r="AM5" s="35" t="s">
        <v>116</v>
      </c>
    </row>
    <row r="6" spans="1:42" ht="8.25" customHeight="1" x14ac:dyDescent="0.3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120"/>
      <c r="M6" s="120"/>
      <c r="N6" s="120"/>
      <c r="O6" s="120"/>
      <c r="P6" s="120"/>
      <c r="Q6" s="120"/>
      <c r="R6" s="120"/>
      <c r="S6" s="122"/>
      <c r="U6" s="119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2"/>
    </row>
    <row r="7" spans="1:42" ht="16.8" customHeight="1" x14ac:dyDescent="0.3">
      <c r="A7" s="60" t="s">
        <v>122</v>
      </c>
      <c r="B7" s="61">
        <f t="shared" ref="B7:G7" si="0">B8+B14+B22</f>
        <v>36898.153464755378</v>
      </c>
      <c r="C7" s="61">
        <f t="shared" si="0"/>
        <v>38097.903705684577</v>
      </c>
      <c r="D7" s="61">
        <f t="shared" si="0"/>
        <v>39482.36</v>
      </c>
      <c r="E7" s="61">
        <f t="shared" si="0"/>
        <v>40805.937999999995</v>
      </c>
      <c r="F7" s="61">
        <f t="shared" si="0"/>
        <v>42150.784</v>
      </c>
      <c r="G7" s="61">
        <f t="shared" si="0"/>
        <v>43476.975000000006</v>
      </c>
      <c r="H7" s="61">
        <f t="shared" ref="H7:M7" si="1">H8+H14+H22</f>
        <v>44809.087</v>
      </c>
      <c r="I7" s="61">
        <f t="shared" si="1"/>
        <v>46067.06700000001</v>
      </c>
      <c r="J7" s="61">
        <f t="shared" si="1"/>
        <v>47791.976999999992</v>
      </c>
      <c r="K7" s="61">
        <f t="shared" si="1"/>
        <v>50242.841999999997</v>
      </c>
      <c r="L7" s="61">
        <f t="shared" si="1"/>
        <v>52520.790000000008</v>
      </c>
      <c r="M7" s="61">
        <f t="shared" si="1"/>
        <v>55309.212000000007</v>
      </c>
      <c r="N7" s="61">
        <f t="shared" ref="N7:O7" si="2">N8+N14+N22</f>
        <v>57842.554000000011</v>
      </c>
      <c r="O7" s="61">
        <f t="shared" si="2"/>
        <v>59970.520999999993</v>
      </c>
      <c r="P7" s="61">
        <f t="shared" ref="P7:Q7" si="3">P8+P14+P22</f>
        <v>62270.526000000005</v>
      </c>
      <c r="Q7" s="61">
        <f t="shared" si="3"/>
        <v>64315.154999999999</v>
      </c>
      <c r="R7" s="61">
        <f t="shared" ref="R7:S7" si="4">R8+R14+R22</f>
        <v>66343.747999999992</v>
      </c>
      <c r="S7" s="62">
        <f t="shared" si="4"/>
        <v>68712.054999999993</v>
      </c>
      <c r="T7" s="2"/>
      <c r="U7" s="60" t="s">
        <v>2</v>
      </c>
      <c r="V7" s="61">
        <f t="shared" ref="V7:AL7" si="5">SUM(V8:V14)</f>
        <v>23222.955297331027</v>
      </c>
      <c r="W7" s="61">
        <f t="shared" si="5"/>
        <v>23292.958476082833</v>
      </c>
      <c r="X7" s="61">
        <f t="shared" si="5"/>
        <v>23741.701000000005</v>
      </c>
      <c r="Y7" s="61">
        <f t="shared" si="5"/>
        <v>24521.318000000003</v>
      </c>
      <c r="Z7" s="61">
        <f t="shared" si="5"/>
        <v>24579.281999999996</v>
      </c>
      <c r="AA7" s="61">
        <f t="shared" si="5"/>
        <v>24744.278999999999</v>
      </c>
      <c r="AB7" s="61">
        <f t="shared" si="5"/>
        <v>24774.831999999999</v>
      </c>
      <c r="AC7" s="61">
        <f t="shared" si="5"/>
        <v>25696.975999999999</v>
      </c>
      <c r="AD7" s="61">
        <f t="shared" si="5"/>
        <v>26370.546000000002</v>
      </c>
      <c r="AE7" s="61">
        <f t="shared" si="5"/>
        <v>27088.173000000003</v>
      </c>
      <c r="AF7" s="61">
        <f t="shared" si="5"/>
        <v>27401.317000000006</v>
      </c>
      <c r="AG7" s="61">
        <f t="shared" si="5"/>
        <v>28748.882999999998</v>
      </c>
      <c r="AH7" s="61">
        <f t="shared" si="5"/>
        <v>29394.798999999999</v>
      </c>
      <c r="AI7" s="61">
        <f t="shared" si="5"/>
        <v>28979.320999999996</v>
      </c>
      <c r="AJ7" s="61">
        <f t="shared" si="5"/>
        <v>29009.464</v>
      </c>
      <c r="AK7" s="61">
        <f t="shared" si="5"/>
        <v>29507.283999999996</v>
      </c>
      <c r="AL7" s="61">
        <f t="shared" si="5"/>
        <v>32957.214999999997</v>
      </c>
      <c r="AM7" s="62">
        <f t="shared" ref="AM7" si="6">SUM(AM8:AM14)</f>
        <v>34530.433000000005</v>
      </c>
    </row>
    <row r="8" spans="1:42" ht="16.8" customHeight="1" x14ac:dyDescent="0.3">
      <c r="A8" s="20" t="s">
        <v>123</v>
      </c>
      <c r="B8" s="11">
        <f t="shared" ref="B8:G8" si="7">SUM(B9:B12)</f>
        <v>426.98894837135214</v>
      </c>
      <c r="C8" s="11">
        <f t="shared" si="7"/>
        <v>596.17036091447142</v>
      </c>
      <c r="D8" s="11">
        <f t="shared" si="7"/>
        <v>623.49699999999996</v>
      </c>
      <c r="E8" s="11">
        <f t="shared" si="7"/>
        <v>610.57900000000006</v>
      </c>
      <c r="F8" s="11">
        <f t="shared" si="7"/>
        <v>626.74599999999998</v>
      </c>
      <c r="G8" s="11">
        <f t="shared" si="7"/>
        <v>578.18500000000006</v>
      </c>
      <c r="H8" s="11">
        <f t="shared" ref="H8:M8" si="8">SUM(H9:H12)</f>
        <v>579.553</v>
      </c>
      <c r="I8" s="11">
        <f t="shared" si="8"/>
        <v>619.4</v>
      </c>
      <c r="J8" s="11">
        <f t="shared" si="8"/>
        <v>640.56799999999998</v>
      </c>
      <c r="K8" s="11">
        <f t="shared" si="8"/>
        <v>850.53200000000004</v>
      </c>
      <c r="L8" s="11">
        <f t="shared" si="8"/>
        <v>993.94299999999998</v>
      </c>
      <c r="M8" s="11">
        <f t="shared" si="8"/>
        <v>998.55899999999997</v>
      </c>
      <c r="N8" s="11">
        <f t="shared" ref="N8:O8" si="9">SUM(N9:N12)</f>
        <v>1009.016</v>
      </c>
      <c r="O8" s="11">
        <f t="shared" si="9"/>
        <v>1001.227</v>
      </c>
      <c r="P8" s="11">
        <f t="shared" ref="P8:Q8" si="10">SUM(P9:P12)</f>
        <v>1044.761</v>
      </c>
      <c r="Q8" s="11">
        <f t="shared" si="10"/>
        <v>1080.56</v>
      </c>
      <c r="R8" s="11">
        <f t="shared" ref="R8:S8" si="11">SUM(R9:R12)</f>
        <v>1198.924</v>
      </c>
      <c r="S8" s="21">
        <f t="shared" si="11"/>
        <v>1202.0939999999998</v>
      </c>
      <c r="T8" s="2"/>
      <c r="U8" s="20" t="s">
        <v>147</v>
      </c>
      <c r="V8" s="11">
        <v>17386.995877713922</v>
      </c>
      <c r="W8" s="11">
        <v>17475.390574412224</v>
      </c>
      <c r="X8" s="14">
        <v>17914.204000000002</v>
      </c>
      <c r="Y8" s="14">
        <v>17525.870999999999</v>
      </c>
      <c r="Z8" s="14">
        <v>17469.063999999998</v>
      </c>
      <c r="AA8" s="14">
        <v>17377.080999999998</v>
      </c>
      <c r="AB8" s="14">
        <v>17403.492999999999</v>
      </c>
      <c r="AC8" s="14">
        <v>17362.933000000001</v>
      </c>
      <c r="AD8" s="14">
        <v>17394.616000000002</v>
      </c>
      <c r="AE8" s="14">
        <v>17391.22</v>
      </c>
      <c r="AF8" s="14">
        <v>17422.597000000002</v>
      </c>
      <c r="AG8" s="14">
        <v>17405.661</v>
      </c>
      <c r="AH8" s="14">
        <v>17417.442999999999</v>
      </c>
      <c r="AI8" s="14">
        <v>17995.235000000001</v>
      </c>
      <c r="AJ8" s="14">
        <v>18019.285</v>
      </c>
      <c r="AK8" s="14">
        <v>18036.227999999999</v>
      </c>
      <c r="AL8" s="14">
        <v>18035.021000000001</v>
      </c>
      <c r="AM8" s="25">
        <v>18049.243999999999</v>
      </c>
    </row>
    <row r="9" spans="1:42" ht="16.8" customHeight="1" x14ac:dyDescent="0.3">
      <c r="A9" s="22" t="s">
        <v>124</v>
      </c>
      <c r="B9" s="12">
        <v>151.11247903957965</v>
      </c>
      <c r="C9" s="12">
        <v>222.77483168593258</v>
      </c>
      <c r="D9" s="13">
        <v>229.31</v>
      </c>
      <c r="E9" s="13">
        <v>182.40600000000001</v>
      </c>
      <c r="F9" s="13">
        <v>202.26499999999999</v>
      </c>
      <c r="G9" s="13">
        <v>207.43799999999999</v>
      </c>
      <c r="H9" s="13">
        <v>215.744</v>
      </c>
      <c r="I9" s="13">
        <v>230.20099999999999</v>
      </c>
      <c r="J9" s="13">
        <v>257.084</v>
      </c>
      <c r="K9" s="13">
        <v>306.959</v>
      </c>
      <c r="L9" s="13">
        <v>367.41800000000001</v>
      </c>
      <c r="M9" s="13">
        <v>388.84800000000001</v>
      </c>
      <c r="N9" s="13">
        <v>363.19799999999998</v>
      </c>
      <c r="O9" s="13">
        <v>282.73099999999999</v>
      </c>
      <c r="P9" s="13">
        <v>282.99799999999999</v>
      </c>
      <c r="Q9" s="13">
        <v>303.904</v>
      </c>
      <c r="R9" s="13">
        <v>299.75299999999999</v>
      </c>
      <c r="S9" s="23">
        <v>263.76</v>
      </c>
      <c r="T9" s="2"/>
      <c r="U9" s="20" t="s">
        <v>148</v>
      </c>
      <c r="V9" s="14">
        <v>169.23640999507211</v>
      </c>
      <c r="W9" s="14">
        <v>243.47607442652122</v>
      </c>
      <c r="X9" s="36">
        <v>236.559</v>
      </c>
      <c r="Y9" s="36">
        <v>265.166</v>
      </c>
      <c r="Z9" s="36">
        <v>291.60399999999998</v>
      </c>
      <c r="AA9" s="36">
        <v>323.44099999999997</v>
      </c>
      <c r="AB9" s="36">
        <v>390.86099999999999</v>
      </c>
      <c r="AC9" s="36">
        <v>465.738</v>
      </c>
      <c r="AD9" s="36">
        <v>405.68099999999998</v>
      </c>
      <c r="AE9" s="36">
        <v>14.58</v>
      </c>
      <c r="AF9" s="36">
        <v>5.8810000000000002</v>
      </c>
      <c r="AG9" s="36">
        <v>3.9209999999999998</v>
      </c>
      <c r="AH9" s="36">
        <v>3.6059999999999999</v>
      </c>
      <c r="AI9" s="36">
        <v>3.351</v>
      </c>
      <c r="AJ9" s="36">
        <v>3.6850000000000001</v>
      </c>
      <c r="AK9" s="36">
        <v>4.3869999999999996</v>
      </c>
      <c r="AL9" s="36"/>
      <c r="AM9" s="81"/>
    </row>
    <row r="10" spans="1:42" ht="16.8" customHeight="1" x14ac:dyDescent="0.3">
      <c r="A10" s="22" t="s">
        <v>125</v>
      </c>
      <c r="B10" s="12">
        <v>4.7984015419469097</v>
      </c>
      <c r="C10" s="12">
        <v>104.99484504005395</v>
      </c>
      <c r="D10" s="13">
        <v>96.959000000000003</v>
      </c>
      <c r="E10" s="13">
        <v>92.305999999999997</v>
      </c>
      <c r="F10" s="13">
        <v>91.036000000000001</v>
      </c>
      <c r="G10" s="13">
        <v>18.859000000000002</v>
      </c>
      <c r="H10" s="13">
        <v>12.41</v>
      </c>
      <c r="I10" s="13">
        <v>22.434999999999999</v>
      </c>
      <c r="J10" s="13">
        <v>20.088000000000001</v>
      </c>
      <c r="K10" s="13">
        <v>15.978</v>
      </c>
      <c r="L10" s="13">
        <v>5.3760000000000003</v>
      </c>
      <c r="M10" s="13">
        <v>4.0519999999999996</v>
      </c>
      <c r="N10" s="13">
        <v>3.3279999999999998</v>
      </c>
      <c r="O10" s="13">
        <v>5.18</v>
      </c>
      <c r="P10" s="13">
        <v>5.78</v>
      </c>
      <c r="Q10" s="13">
        <v>3.9820000000000002</v>
      </c>
      <c r="R10" s="13">
        <v>50.478999999999999</v>
      </c>
      <c r="S10" s="23">
        <v>48.112000000000002</v>
      </c>
      <c r="T10" s="2"/>
      <c r="U10" s="24" t="s">
        <v>149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6">
        <v>17.472999999999999</v>
      </c>
      <c r="AM10" s="81">
        <v>21.785</v>
      </c>
    </row>
    <row r="11" spans="1:42" ht="16.8" customHeight="1" x14ac:dyDescent="0.3">
      <c r="A11" s="22" t="s">
        <v>126</v>
      </c>
      <c r="B11" s="12">
        <v>243.7439977933744</v>
      </c>
      <c r="C11" s="12">
        <v>257.45921863253125</v>
      </c>
      <c r="D11" s="13">
        <v>283.16699999999997</v>
      </c>
      <c r="E11" s="13">
        <v>319.92099999999999</v>
      </c>
      <c r="F11" s="13">
        <v>318.86700000000002</v>
      </c>
      <c r="G11" s="13">
        <v>335.173</v>
      </c>
      <c r="H11" s="13">
        <v>335.97899999999998</v>
      </c>
      <c r="I11" s="13">
        <v>354.19600000000003</v>
      </c>
      <c r="J11" s="13">
        <v>353.42599999999999</v>
      </c>
      <c r="K11" s="13">
        <v>516.18799999999999</v>
      </c>
      <c r="L11" s="13">
        <v>601.11800000000005</v>
      </c>
      <c r="M11" s="13">
        <v>591.37199999999996</v>
      </c>
      <c r="N11" s="13">
        <v>623.81100000000004</v>
      </c>
      <c r="O11" s="13">
        <v>687.32</v>
      </c>
      <c r="P11" s="13">
        <v>712.48699999999997</v>
      </c>
      <c r="Q11" s="13">
        <v>746.41499999999996</v>
      </c>
      <c r="R11" s="13">
        <v>811.03700000000003</v>
      </c>
      <c r="S11" s="23">
        <v>840.80499999999995</v>
      </c>
      <c r="T11" s="2"/>
      <c r="U11" s="24" t="s">
        <v>150</v>
      </c>
      <c r="V11" s="11">
        <v>2796.7201672460742</v>
      </c>
      <c r="W11" s="11">
        <v>2690.8468766661117</v>
      </c>
      <c r="X11" s="14">
        <v>2676.884</v>
      </c>
      <c r="Y11" s="14">
        <v>2666.86</v>
      </c>
      <c r="Z11" s="14">
        <v>2666.7179999999998</v>
      </c>
      <c r="AA11" s="14">
        <v>2630.7179999999998</v>
      </c>
      <c r="AB11" s="14">
        <v>2616.86</v>
      </c>
      <c r="AC11" s="14">
        <v>2476.8510000000001</v>
      </c>
      <c r="AD11" s="14">
        <v>2481.6039999999998</v>
      </c>
      <c r="AE11" s="14">
        <v>2554.4059999999999</v>
      </c>
      <c r="AF11" s="14">
        <v>2514.3440000000001</v>
      </c>
      <c r="AG11" s="14">
        <v>2506.9789999999998</v>
      </c>
      <c r="AH11" s="14">
        <v>2500.7910000000002</v>
      </c>
      <c r="AI11" s="14">
        <v>2508.2849999999999</v>
      </c>
      <c r="AJ11" s="14">
        <v>2369.8139999999999</v>
      </c>
      <c r="AK11" s="14">
        <v>2240.0540000000001</v>
      </c>
      <c r="AL11" s="14">
        <v>2219.902</v>
      </c>
      <c r="AM11" s="25">
        <v>2204.9659999999999</v>
      </c>
    </row>
    <row r="12" spans="1:42" ht="16.8" customHeight="1" x14ac:dyDescent="0.3">
      <c r="A12" s="22" t="s">
        <v>127</v>
      </c>
      <c r="B12" s="12">
        <v>27.33406999645123</v>
      </c>
      <c r="C12" s="12">
        <v>10.9414655559536</v>
      </c>
      <c r="D12" s="13">
        <v>14.061</v>
      </c>
      <c r="E12" s="13">
        <v>15.946</v>
      </c>
      <c r="F12" s="13">
        <v>14.577999999999999</v>
      </c>
      <c r="G12" s="13">
        <v>16.715</v>
      </c>
      <c r="H12" s="13">
        <v>15.42</v>
      </c>
      <c r="I12" s="13">
        <v>12.568</v>
      </c>
      <c r="J12" s="13">
        <v>9.9700000000000006</v>
      </c>
      <c r="K12" s="13">
        <v>11.407</v>
      </c>
      <c r="L12" s="13">
        <v>20.030999999999999</v>
      </c>
      <c r="M12" s="13">
        <v>14.287000000000001</v>
      </c>
      <c r="N12" s="13">
        <v>18.678999999999998</v>
      </c>
      <c r="O12" s="13">
        <v>25.995999999999999</v>
      </c>
      <c r="P12" s="13">
        <v>43.496000000000002</v>
      </c>
      <c r="Q12" s="13">
        <v>26.259</v>
      </c>
      <c r="R12" s="13">
        <v>37.655000000000001</v>
      </c>
      <c r="S12" s="23">
        <v>49.417000000000002</v>
      </c>
      <c r="T12" s="2"/>
      <c r="U12" s="24" t="s">
        <v>151</v>
      </c>
      <c r="V12" s="11">
        <v>3150.2629618230226</v>
      </c>
      <c r="W12" s="11">
        <v>2951.4932565050881</v>
      </c>
      <c r="X12" s="14">
        <v>2732.348</v>
      </c>
      <c r="Y12" s="14">
        <v>3134.6509999999998</v>
      </c>
      <c r="Z12" s="14">
        <v>3115.3119999999999</v>
      </c>
      <c r="AA12" s="14">
        <v>3106.5279999999998</v>
      </c>
      <c r="AB12" s="14">
        <v>3154.1570000000002</v>
      </c>
      <c r="AC12" s="14">
        <v>3503.0309999999999</v>
      </c>
      <c r="AD12" s="14">
        <v>3686.6419999999998</v>
      </c>
      <c r="AE12" s="14">
        <v>3333.674</v>
      </c>
      <c r="AF12" s="14">
        <v>3366.4920000000002</v>
      </c>
      <c r="AG12" s="14">
        <v>3372.9940000000001</v>
      </c>
      <c r="AH12" s="14">
        <v>3393.462</v>
      </c>
      <c r="AI12" s="14">
        <v>3429.808</v>
      </c>
      <c r="AJ12" s="14">
        <v>3441.2280000000001</v>
      </c>
      <c r="AK12" s="14">
        <v>3400.3229999999999</v>
      </c>
      <c r="AL12" s="14">
        <v>3426.6030000000001</v>
      </c>
      <c r="AM12" s="25">
        <v>3381.2759999999998</v>
      </c>
      <c r="AN12" s="6"/>
      <c r="AO12" s="6"/>
      <c r="AP12" s="6"/>
    </row>
    <row r="13" spans="1:42" ht="16.8" customHeight="1" x14ac:dyDescent="0.3">
      <c r="A13" s="24"/>
      <c r="B13" s="11"/>
      <c r="C13" s="1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5"/>
      <c r="U13" s="20" t="s">
        <v>153</v>
      </c>
      <c r="V13" s="11">
        <v>-586.74965058958276</v>
      </c>
      <c r="W13" s="11">
        <v>-401.684402083512</v>
      </c>
      <c r="X13" s="14">
        <v>-227.83799999999999</v>
      </c>
      <c r="Y13" s="14">
        <v>196.37</v>
      </c>
      <c r="Z13" s="14">
        <v>978.46299999999997</v>
      </c>
      <c r="AA13" s="14">
        <v>1406.008</v>
      </c>
      <c r="AB13" s="14">
        <v>1309.761</v>
      </c>
      <c r="AC13" s="14">
        <v>1370.2349999999999</v>
      </c>
      <c r="AD13" s="14">
        <v>1871.2650000000001</v>
      </c>
      <c r="AE13" s="14">
        <v>3125.1120000000001</v>
      </c>
      <c r="AF13" s="14">
        <v>3790.4830000000002</v>
      </c>
      <c r="AG13" s="14">
        <v>3990.5740000000001</v>
      </c>
      <c r="AH13" s="14">
        <v>5601.2190000000001</v>
      </c>
      <c r="AI13" s="14">
        <v>5438.0969999999998</v>
      </c>
      <c r="AJ13" s="14">
        <v>4874.0709999999999</v>
      </c>
      <c r="AK13" s="14">
        <v>5167.8890000000001</v>
      </c>
      <c r="AL13" s="14">
        <v>8580.9120000000003</v>
      </c>
      <c r="AM13" s="25">
        <v>9342.1049999999996</v>
      </c>
    </row>
    <row r="14" spans="1:42" ht="16.8" customHeight="1" x14ac:dyDescent="0.3">
      <c r="A14" s="20" t="s">
        <v>128</v>
      </c>
      <c r="B14" s="11">
        <f t="shared" ref="B14:G14" si="12">SUM(B15:B20)</f>
        <v>33988.60896811662</v>
      </c>
      <c r="C14" s="11">
        <f t="shared" si="12"/>
        <v>35323.328842715695</v>
      </c>
      <c r="D14" s="11">
        <f t="shared" si="12"/>
        <v>36663.231</v>
      </c>
      <c r="E14" s="11">
        <f t="shared" si="12"/>
        <v>37765.201999999997</v>
      </c>
      <c r="F14" s="11">
        <f t="shared" si="12"/>
        <v>39077.017</v>
      </c>
      <c r="G14" s="11">
        <f t="shared" si="12"/>
        <v>40397.221000000005</v>
      </c>
      <c r="H14" s="11">
        <f t="shared" ref="H14:M14" si="13">SUM(H15:H20)</f>
        <v>41642.828000000001</v>
      </c>
      <c r="I14" s="11">
        <f t="shared" si="13"/>
        <v>43016.343000000008</v>
      </c>
      <c r="J14" s="11">
        <f t="shared" si="13"/>
        <v>44618.197999999989</v>
      </c>
      <c r="K14" s="11">
        <f t="shared" si="13"/>
        <v>46673.898000000001</v>
      </c>
      <c r="L14" s="11">
        <f t="shared" si="13"/>
        <v>48673.428000000007</v>
      </c>
      <c r="M14" s="11">
        <f t="shared" si="13"/>
        <v>50901.997000000003</v>
      </c>
      <c r="N14" s="11">
        <f t="shared" ref="N14:O14" si="14">SUM(N15:N20)</f>
        <v>53194.740000000005</v>
      </c>
      <c r="O14" s="11">
        <f t="shared" si="14"/>
        <v>55251.009999999995</v>
      </c>
      <c r="P14" s="11">
        <f t="shared" ref="P14:Q14" si="15">SUM(P15:P20)</f>
        <v>57324.202000000005</v>
      </c>
      <c r="Q14" s="11">
        <f t="shared" si="15"/>
        <v>59003.862000000001</v>
      </c>
      <c r="R14" s="11">
        <f t="shared" ref="R14:S14" si="16">SUM(R15:R20)</f>
        <v>60733.53</v>
      </c>
      <c r="S14" s="21">
        <f t="shared" si="16"/>
        <v>62924.658000000003</v>
      </c>
      <c r="T14" s="2"/>
      <c r="U14" s="20" t="s">
        <v>152</v>
      </c>
      <c r="V14" s="11">
        <v>306.48953114251742</v>
      </c>
      <c r="W14" s="11">
        <v>333.43609615640128</v>
      </c>
      <c r="X14" s="14">
        <v>409.54399999999998</v>
      </c>
      <c r="Y14" s="14">
        <v>732.4</v>
      </c>
      <c r="Z14" s="14">
        <v>58.121000000000002</v>
      </c>
      <c r="AA14" s="14">
        <v>-99.497</v>
      </c>
      <c r="AB14" s="14">
        <v>-100.3</v>
      </c>
      <c r="AC14" s="14">
        <v>518.18799999999999</v>
      </c>
      <c r="AD14" s="14">
        <v>530.73800000000006</v>
      </c>
      <c r="AE14" s="14">
        <v>669.18100000000004</v>
      </c>
      <c r="AF14" s="14">
        <v>301.52</v>
      </c>
      <c r="AG14" s="14">
        <v>1468.7539999999999</v>
      </c>
      <c r="AH14" s="14">
        <v>478.27800000000002</v>
      </c>
      <c r="AI14" s="14">
        <v>-395.45499999999998</v>
      </c>
      <c r="AJ14" s="14">
        <v>301.38099999999997</v>
      </c>
      <c r="AK14" s="14">
        <v>658.40300000000002</v>
      </c>
      <c r="AL14" s="14">
        <v>677.30399999999997</v>
      </c>
      <c r="AM14" s="25">
        <v>1531.057</v>
      </c>
    </row>
    <row r="15" spans="1:42" ht="16.8" customHeight="1" x14ac:dyDescent="0.3">
      <c r="A15" s="22" t="s">
        <v>129</v>
      </c>
      <c r="B15" s="12">
        <v>5928.9051134175279</v>
      </c>
      <c r="C15" s="12">
        <v>6276.0357432981318</v>
      </c>
      <c r="D15" s="13">
        <v>6496.4660000000003</v>
      </c>
      <c r="E15" s="13">
        <v>6618.0619999999999</v>
      </c>
      <c r="F15" s="13">
        <v>6751.55</v>
      </c>
      <c r="G15" s="13">
        <v>6899.3860000000004</v>
      </c>
      <c r="H15" s="13">
        <v>7004.3180000000002</v>
      </c>
      <c r="I15" s="13">
        <v>6994.1030000000001</v>
      </c>
      <c r="J15" s="13">
        <v>7202.3530000000001</v>
      </c>
      <c r="K15" s="13">
        <v>7356.5389999999998</v>
      </c>
      <c r="L15" s="13">
        <v>7526.03</v>
      </c>
      <c r="M15" s="13">
        <v>7693.1239999999998</v>
      </c>
      <c r="N15" s="13">
        <v>7885.3230000000003</v>
      </c>
      <c r="O15" s="13">
        <v>8157.3459999999995</v>
      </c>
      <c r="P15" s="13">
        <v>8199.2150000000001</v>
      </c>
      <c r="Q15" s="13">
        <v>8421.991</v>
      </c>
      <c r="R15" s="13">
        <v>8599.6919999999991</v>
      </c>
      <c r="S15" s="23">
        <v>8853.6309999999994</v>
      </c>
      <c r="T15" s="2"/>
      <c r="U15" s="18" t="s">
        <v>16</v>
      </c>
      <c r="V15" s="16">
        <v>386.8352582441517</v>
      </c>
      <c r="W15" s="16">
        <v>402.50818654732046</v>
      </c>
      <c r="X15" s="16">
        <v>327.77499999999998</v>
      </c>
      <c r="Y15" s="16">
        <v>288.505</v>
      </c>
      <c r="Z15" s="16">
        <v>303.44</v>
      </c>
      <c r="AA15" s="16">
        <v>323.73399999999998</v>
      </c>
      <c r="AB15" s="16">
        <v>328.44600000000003</v>
      </c>
      <c r="AC15" s="16">
        <v>344.75799999999998</v>
      </c>
      <c r="AD15" s="16">
        <v>369.76299999999998</v>
      </c>
      <c r="AE15" s="16">
        <v>378.56900000000002</v>
      </c>
      <c r="AF15" s="16">
        <v>401.72899999999998</v>
      </c>
      <c r="AG15" s="16">
        <v>445.46</v>
      </c>
      <c r="AH15" s="16">
        <v>455.19099999999997</v>
      </c>
      <c r="AI15" s="16">
        <v>472.40600000000001</v>
      </c>
      <c r="AJ15" s="16">
        <v>511.51900000000001</v>
      </c>
      <c r="AK15" s="16">
        <v>585.84100000000001</v>
      </c>
      <c r="AL15" s="16">
        <v>658.476</v>
      </c>
      <c r="AM15" s="30">
        <v>706.66499999999996</v>
      </c>
    </row>
    <row r="16" spans="1:42" ht="16.8" customHeight="1" x14ac:dyDescent="0.3">
      <c r="A16" s="22" t="s">
        <v>130</v>
      </c>
      <c r="B16" s="12">
        <v>18799.47525366944</v>
      </c>
      <c r="C16" s="12">
        <v>19429.795836676069</v>
      </c>
      <c r="D16" s="13">
        <v>20109.695</v>
      </c>
      <c r="E16" s="13">
        <v>20813.754000000001</v>
      </c>
      <c r="F16" s="13">
        <v>21685.374</v>
      </c>
      <c r="G16" s="13">
        <v>22600.888999999999</v>
      </c>
      <c r="H16" s="13">
        <v>23394.06</v>
      </c>
      <c r="I16" s="13">
        <v>23895.394</v>
      </c>
      <c r="J16" s="13">
        <v>24653.460999999999</v>
      </c>
      <c r="K16" s="13">
        <v>25285.928</v>
      </c>
      <c r="L16" s="13">
        <v>26296.454000000002</v>
      </c>
      <c r="M16" s="13">
        <v>27241.151999999998</v>
      </c>
      <c r="N16" s="13">
        <v>28151.865000000002</v>
      </c>
      <c r="O16" s="13">
        <v>28958.688999999998</v>
      </c>
      <c r="P16" s="13">
        <v>30063.558000000001</v>
      </c>
      <c r="Q16" s="13">
        <v>30887.518</v>
      </c>
      <c r="R16" s="13">
        <v>32060.34</v>
      </c>
      <c r="S16" s="23">
        <v>32661.449000000001</v>
      </c>
      <c r="T16" s="2"/>
      <c r="U16" s="29" t="s">
        <v>17</v>
      </c>
      <c r="V16" s="16">
        <v>3.8602492881446016</v>
      </c>
      <c r="W16" s="16">
        <v>2.1455733778694963</v>
      </c>
      <c r="X16" s="38">
        <v>1.375</v>
      </c>
      <c r="Y16" s="38">
        <v>1.897</v>
      </c>
      <c r="Z16" s="38">
        <v>2.4140000000000001</v>
      </c>
      <c r="AA16" s="38">
        <v>0.72599999999999998</v>
      </c>
      <c r="AB16" s="38">
        <v>0.70299999999999996</v>
      </c>
      <c r="AC16" s="38">
        <v>1.57</v>
      </c>
      <c r="AD16" s="38">
        <v>11.119</v>
      </c>
      <c r="AE16" s="38">
        <v>9.7149999999999999</v>
      </c>
      <c r="AF16" s="38">
        <v>8.4109999999999996</v>
      </c>
      <c r="AG16" s="38">
        <v>6.702</v>
      </c>
      <c r="AH16" s="38">
        <v>5.4</v>
      </c>
      <c r="AI16" s="38">
        <v>6.3090000000000002</v>
      </c>
      <c r="AJ16" s="38">
        <v>5.4740000000000002</v>
      </c>
      <c r="AK16" s="38">
        <v>4.5990000000000002</v>
      </c>
      <c r="AL16" s="38">
        <v>4.4059999999999997</v>
      </c>
      <c r="AM16" s="82">
        <v>10.567</v>
      </c>
    </row>
    <row r="17" spans="1:39" ht="16.8" customHeight="1" x14ac:dyDescent="0.3">
      <c r="A17" s="22" t="s">
        <v>131</v>
      </c>
      <c r="B17" s="12">
        <v>6860.6857358137695</v>
      </c>
      <c r="C17" s="12">
        <v>7014.6266312126518</v>
      </c>
      <c r="D17" s="13">
        <v>7265.5820000000003</v>
      </c>
      <c r="E17" s="13">
        <v>7323.5360000000001</v>
      </c>
      <c r="F17" s="13">
        <v>7489.97</v>
      </c>
      <c r="G17" s="13">
        <v>7695.7650000000003</v>
      </c>
      <c r="H17" s="13">
        <v>7914.4549999999999</v>
      </c>
      <c r="I17" s="13">
        <v>8096.8249999999998</v>
      </c>
      <c r="J17" s="13">
        <v>8690.3629999999994</v>
      </c>
      <c r="K17" s="13">
        <v>9642.8629999999994</v>
      </c>
      <c r="L17" s="13">
        <v>10354.841</v>
      </c>
      <c r="M17" s="13">
        <v>11165.977999999999</v>
      </c>
      <c r="N17" s="13">
        <v>11881.433999999999</v>
      </c>
      <c r="O17" s="13">
        <v>12381.888000000001</v>
      </c>
      <c r="P17" s="13">
        <v>13012.519</v>
      </c>
      <c r="Q17" s="13">
        <v>12505.088</v>
      </c>
      <c r="R17" s="13">
        <v>12740.99</v>
      </c>
      <c r="S17" s="23">
        <v>13140.512000000001</v>
      </c>
      <c r="T17" s="2"/>
      <c r="U17" s="18" t="s">
        <v>10</v>
      </c>
      <c r="V17" s="10">
        <f t="shared" ref="V17:AA17" si="17">V18+V19</f>
        <v>1137.7117696229059</v>
      </c>
      <c r="W17" s="10">
        <f t="shared" si="17"/>
        <v>1396.4847041490279</v>
      </c>
      <c r="X17" s="10">
        <f t="shared" si="17"/>
        <v>1385.6320000000001</v>
      </c>
      <c r="Y17" s="10">
        <f t="shared" si="17"/>
        <v>1514.875</v>
      </c>
      <c r="Z17" s="10">
        <f t="shared" si="17"/>
        <v>1574.789</v>
      </c>
      <c r="AA17" s="10">
        <f t="shared" si="17"/>
        <v>1650.9870000000001</v>
      </c>
      <c r="AB17" s="10">
        <f t="shared" ref="AB17:AG17" si="18">AB18+AB19</f>
        <v>1721.3920000000001</v>
      </c>
      <c r="AC17" s="10">
        <f t="shared" si="18"/>
        <v>1869.7860000000001</v>
      </c>
      <c r="AD17" s="10">
        <f t="shared" si="18"/>
        <v>2023.979</v>
      </c>
      <c r="AE17" s="10">
        <f t="shared" si="18"/>
        <v>2195.9790000000003</v>
      </c>
      <c r="AF17" s="10">
        <f t="shared" si="18"/>
        <v>2412.1120000000001</v>
      </c>
      <c r="AG17" s="10">
        <f t="shared" si="18"/>
        <v>2679.8319999999999</v>
      </c>
      <c r="AH17" s="10">
        <f t="shared" ref="AH17:AI17" si="19">AH18+AH19</f>
        <v>2826.395</v>
      </c>
      <c r="AI17" s="10">
        <f t="shared" si="19"/>
        <v>2930.6490000000003</v>
      </c>
      <c r="AJ17" s="10">
        <f t="shared" ref="AJ17:AK17" si="20">AJ18+AJ19</f>
        <v>3032.674</v>
      </c>
      <c r="AK17" s="10">
        <f t="shared" si="20"/>
        <v>3166.011</v>
      </c>
      <c r="AL17" s="10">
        <f t="shared" ref="AL17" si="21">AL18+AL19</f>
        <v>49.720999999999997</v>
      </c>
      <c r="AM17" s="19"/>
    </row>
    <row r="18" spans="1:39" ht="16.8" customHeight="1" x14ac:dyDescent="0.3">
      <c r="A18" s="22" t="s">
        <v>132</v>
      </c>
      <c r="B18" s="12">
        <v>1257.2854805044965</v>
      </c>
      <c r="C18" s="12">
        <v>1346.2933903826779</v>
      </c>
      <c r="D18" s="13">
        <v>1486.952</v>
      </c>
      <c r="E18" s="13">
        <v>1568.77</v>
      </c>
      <c r="F18" s="13">
        <v>1633.5509999999999</v>
      </c>
      <c r="G18" s="13">
        <v>1666.1030000000001</v>
      </c>
      <c r="H18" s="13">
        <v>1676.473</v>
      </c>
      <c r="I18" s="13">
        <v>1927.5119999999999</v>
      </c>
      <c r="J18" s="13">
        <v>1906.3420000000001</v>
      </c>
      <c r="K18" s="13">
        <v>1967.663</v>
      </c>
      <c r="L18" s="13">
        <v>2097.5070000000001</v>
      </c>
      <c r="M18" s="13">
        <v>2219.3809999999999</v>
      </c>
      <c r="N18" s="13">
        <v>2370.1640000000002</v>
      </c>
      <c r="O18" s="13">
        <v>2567.9090000000001</v>
      </c>
      <c r="P18" s="13">
        <v>2661.7779999999998</v>
      </c>
      <c r="Q18" s="13">
        <v>3319.203</v>
      </c>
      <c r="R18" s="13">
        <v>3286.9059999999999</v>
      </c>
      <c r="S18" s="23">
        <v>3393.473</v>
      </c>
      <c r="T18" s="2"/>
      <c r="U18" s="24" t="s">
        <v>154</v>
      </c>
      <c r="V18" s="11">
        <v>463.32544531958229</v>
      </c>
      <c r="W18" s="11">
        <v>653.10163764584001</v>
      </c>
      <c r="X18" s="14">
        <v>863.55799999999999</v>
      </c>
      <c r="Y18" s="14">
        <v>749.27</v>
      </c>
      <c r="Z18" s="14">
        <v>782.60900000000004</v>
      </c>
      <c r="AA18" s="14">
        <v>922.20399999999995</v>
      </c>
      <c r="AB18" s="14">
        <v>1020.08</v>
      </c>
      <c r="AC18" s="14">
        <v>1044.1990000000001</v>
      </c>
      <c r="AD18" s="14">
        <v>1111.038</v>
      </c>
      <c r="AE18" s="14">
        <v>1508.817</v>
      </c>
      <c r="AF18" s="14">
        <v>1700.491</v>
      </c>
      <c r="AG18" s="14">
        <v>1840.46</v>
      </c>
      <c r="AH18" s="14">
        <v>1954.481</v>
      </c>
      <c r="AI18" s="14">
        <v>2008.2940000000001</v>
      </c>
      <c r="AJ18" s="14">
        <v>2036.481</v>
      </c>
      <c r="AK18" s="14">
        <v>2181.183</v>
      </c>
      <c r="AL18" s="14">
        <v>33.305999999999997</v>
      </c>
      <c r="AM18" s="25"/>
    </row>
    <row r="19" spans="1:39" ht="16.8" customHeight="1" x14ac:dyDescent="0.3">
      <c r="A19" s="22" t="s">
        <v>133</v>
      </c>
      <c r="B19" s="12">
        <v>242.30010444470233</v>
      </c>
      <c r="C19" s="12">
        <v>220.25739480265668</v>
      </c>
      <c r="D19" s="13">
        <v>218.04900000000001</v>
      </c>
      <c r="E19" s="13">
        <v>222.797</v>
      </c>
      <c r="F19" s="13">
        <v>219.01900000000001</v>
      </c>
      <c r="G19" s="13">
        <v>234.62</v>
      </c>
      <c r="H19" s="13">
        <v>262.23200000000003</v>
      </c>
      <c r="I19" s="13">
        <v>306.85300000000001</v>
      </c>
      <c r="J19" s="13">
        <v>270.31799999999998</v>
      </c>
      <c r="K19" s="13">
        <v>308.20800000000003</v>
      </c>
      <c r="L19" s="13">
        <v>279.53500000000003</v>
      </c>
      <c r="M19" s="13">
        <v>288.55700000000002</v>
      </c>
      <c r="N19" s="13">
        <v>397.44</v>
      </c>
      <c r="O19" s="13">
        <v>427.57299999999998</v>
      </c>
      <c r="P19" s="13">
        <v>425.08800000000002</v>
      </c>
      <c r="Q19" s="13">
        <v>679.60299999999995</v>
      </c>
      <c r="R19" s="13">
        <v>676.52499999999998</v>
      </c>
      <c r="S19" s="23">
        <v>665.28499999999997</v>
      </c>
      <c r="T19" s="2"/>
      <c r="U19" s="24" t="s">
        <v>155</v>
      </c>
      <c r="V19" s="11">
        <v>674.38632430332359</v>
      </c>
      <c r="W19" s="11">
        <v>743.38306650318793</v>
      </c>
      <c r="X19" s="14">
        <v>522.07399999999996</v>
      </c>
      <c r="Y19" s="14">
        <v>765.60500000000002</v>
      </c>
      <c r="Z19" s="14">
        <v>792.18</v>
      </c>
      <c r="AA19" s="14">
        <v>728.78300000000002</v>
      </c>
      <c r="AB19" s="14">
        <v>701.31200000000001</v>
      </c>
      <c r="AC19" s="14">
        <v>825.58699999999999</v>
      </c>
      <c r="AD19" s="14">
        <v>912.94100000000003</v>
      </c>
      <c r="AE19" s="14">
        <v>687.16200000000003</v>
      </c>
      <c r="AF19" s="14">
        <v>711.62099999999998</v>
      </c>
      <c r="AG19" s="14">
        <v>839.37199999999996</v>
      </c>
      <c r="AH19" s="14">
        <v>871.91399999999999</v>
      </c>
      <c r="AI19" s="14">
        <v>922.35500000000002</v>
      </c>
      <c r="AJ19" s="14">
        <v>996.19299999999998</v>
      </c>
      <c r="AK19" s="14">
        <v>984.82799999999997</v>
      </c>
      <c r="AL19" s="14">
        <v>16.414999999999999</v>
      </c>
      <c r="AM19" s="25"/>
    </row>
    <row r="20" spans="1:39" ht="16.8" customHeight="1" x14ac:dyDescent="0.3">
      <c r="A20" s="22" t="s">
        <v>134</v>
      </c>
      <c r="B20" s="12">
        <v>899.95728026667882</v>
      </c>
      <c r="C20" s="12">
        <v>1036.3198463435103</v>
      </c>
      <c r="D20" s="13">
        <v>1086.4870000000001</v>
      </c>
      <c r="E20" s="13">
        <v>1218.2829999999999</v>
      </c>
      <c r="F20" s="13">
        <v>1297.5530000000001</v>
      </c>
      <c r="G20" s="13">
        <v>1300.4580000000001</v>
      </c>
      <c r="H20" s="13">
        <v>1391.29</v>
      </c>
      <c r="I20" s="13">
        <v>1795.6559999999999</v>
      </c>
      <c r="J20" s="13">
        <v>1895.3610000000001</v>
      </c>
      <c r="K20" s="13">
        <v>2112.6970000000001</v>
      </c>
      <c r="L20" s="13">
        <v>2119.0610000000001</v>
      </c>
      <c r="M20" s="13">
        <v>2293.8049999999998</v>
      </c>
      <c r="N20" s="13">
        <v>2508.5140000000001</v>
      </c>
      <c r="O20" s="13">
        <v>2757.605</v>
      </c>
      <c r="P20" s="13">
        <v>2962.0439999999999</v>
      </c>
      <c r="Q20" s="13">
        <v>3190.4589999999998</v>
      </c>
      <c r="R20" s="13">
        <v>3369.0770000000002</v>
      </c>
      <c r="S20" s="23">
        <v>4210.308</v>
      </c>
      <c r="U20" s="18" t="s">
        <v>11</v>
      </c>
      <c r="V20" s="16">
        <v>809.1388273601392</v>
      </c>
      <c r="W20" s="16">
        <f t="shared" ref="W20:AB20" si="22">W21+W22</f>
        <v>792.66229714433712</v>
      </c>
      <c r="X20" s="16">
        <f t="shared" si="22"/>
        <v>782.38699999999994</v>
      </c>
      <c r="Y20" s="16">
        <f t="shared" si="22"/>
        <v>793.70100000000002</v>
      </c>
      <c r="Z20" s="16">
        <f t="shared" si="22"/>
        <v>766.95699999999999</v>
      </c>
      <c r="AA20" s="16">
        <f t="shared" si="22"/>
        <v>736.17899999999997</v>
      </c>
      <c r="AB20" s="16">
        <f t="shared" si="22"/>
        <v>691.68700000000001</v>
      </c>
      <c r="AC20" s="16">
        <f t="shared" ref="AC20:AH20" si="23">AC21+AC22</f>
        <v>688.61599999999999</v>
      </c>
      <c r="AD20" s="16">
        <f t="shared" si="23"/>
        <v>650.82899999999995</v>
      </c>
      <c r="AE20" s="16">
        <f t="shared" si="23"/>
        <v>632.82600000000002</v>
      </c>
      <c r="AF20" s="16">
        <f t="shared" si="23"/>
        <v>608.78199999999993</v>
      </c>
      <c r="AG20" s="16">
        <f t="shared" si="23"/>
        <v>588.54999999999995</v>
      </c>
      <c r="AH20" s="16">
        <f t="shared" si="23"/>
        <v>592.73</v>
      </c>
      <c r="AI20" s="16">
        <f t="shared" ref="AI20:AJ20" si="24">AI21+AI22</f>
        <v>563.90699999999993</v>
      </c>
      <c r="AJ20" s="16">
        <f t="shared" si="24"/>
        <v>594.97700000000009</v>
      </c>
      <c r="AK20" s="16">
        <f t="shared" ref="AK20:AL20" si="25">AK21+AK22</f>
        <v>629.79899999999998</v>
      </c>
      <c r="AL20" s="16">
        <f t="shared" si="25"/>
        <v>633.94499999999994</v>
      </c>
      <c r="AM20" s="30">
        <f t="shared" ref="AM20" si="26">AM21+AM22</f>
        <v>645.45900000000006</v>
      </c>
    </row>
    <row r="21" spans="1:39" ht="16.8" customHeight="1" x14ac:dyDescent="0.3">
      <c r="A21" s="26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7"/>
      <c r="U21" s="20" t="s">
        <v>156</v>
      </c>
      <c r="V21" s="11"/>
      <c r="W21" s="11">
        <v>655.71578258683121</v>
      </c>
      <c r="X21" s="14">
        <v>631.29399999999998</v>
      </c>
      <c r="Y21" s="14">
        <v>611.44399999999996</v>
      </c>
      <c r="Z21" s="14">
        <v>563.23900000000003</v>
      </c>
      <c r="AA21" s="14">
        <v>520.505</v>
      </c>
      <c r="AB21" s="14">
        <v>461.72500000000002</v>
      </c>
      <c r="AC21" s="14">
        <v>416.35700000000003</v>
      </c>
      <c r="AD21" s="14">
        <v>391.916</v>
      </c>
      <c r="AE21" s="14">
        <v>366.25900000000001</v>
      </c>
      <c r="AF21" s="14">
        <v>346.58699999999999</v>
      </c>
      <c r="AG21" s="14">
        <v>325.12700000000001</v>
      </c>
      <c r="AH21" s="14">
        <v>287.31099999999998</v>
      </c>
      <c r="AI21" s="14">
        <v>262.387</v>
      </c>
      <c r="AJ21" s="14">
        <v>239.82400000000001</v>
      </c>
      <c r="AK21" s="14">
        <v>198.11199999999999</v>
      </c>
      <c r="AL21" s="14">
        <v>179.90799999999999</v>
      </c>
      <c r="AM21" s="25">
        <v>158.947</v>
      </c>
    </row>
    <row r="22" spans="1:39" ht="16.8" customHeight="1" x14ac:dyDescent="0.3">
      <c r="A22" s="20" t="s">
        <v>135</v>
      </c>
      <c r="B22" s="11">
        <f t="shared" ref="B22:G22" si="27">SUM(B23:B27)</f>
        <v>2482.5555482674117</v>
      </c>
      <c r="C22" s="11">
        <f t="shared" si="27"/>
        <v>2178.4045020544154</v>
      </c>
      <c r="D22" s="11">
        <f t="shared" si="27"/>
        <v>2195.6320000000001</v>
      </c>
      <c r="E22" s="11">
        <f t="shared" si="27"/>
        <v>2430.1569999999997</v>
      </c>
      <c r="F22" s="11">
        <f t="shared" si="27"/>
        <v>2447.0210000000002</v>
      </c>
      <c r="G22" s="11">
        <f t="shared" si="27"/>
        <v>2501.569</v>
      </c>
      <c r="H22" s="11">
        <f t="shared" ref="H22:M22" si="28">SUM(H23:H27)</f>
        <v>2586.7060000000001</v>
      </c>
      <c r="I22" s="11">
        <f t="shared" si="28"/>
        <v>2431.3239999999996</v>
      </c>
      <c r="J22" s="11">
        <f t="shared" si="28"/>
        <v>2533.2109999999998</v>
      </c>
      <c r="K22" s="11">
        <f t="shared" si="28"/>
        <v>2718.4119999999998</v>
      </c>
      <c r="L22" s="11">
        <f t="shared" si="28"/>
        <v>2853.4189999999999</v>
      </c>
      <c r="M22" s="11">
        <f t="shared" si="28"/>
        <v>3408.6559999999999</v>
      </c>
      <c r="N22" s="11">
        <f t="shared" ref="N22:O22" si="29">SUM(N23:N27)</f>
        <v>3638.7979999999998</v>
      </c>
      <c r="O22" s="11">
        <f t="shared" si="29"/>
        <v>3718.2839999999992</v>
      </c>
      <c r="P22" s="11">
        <f t="shared" ref="P22:Q22" si="30">SUM(P23:P27)</f>
        <v>3901.5630000000001</v>
      </c>
      <c r="Q22" s="11">
        <f t="shared" si="30"/>
        <v>4230.7330000000002</v>
      </c>
      <c r="R22" s="11">
        <f t="shared" ref="R22:S22" si="31">SUM(R23:R27)</f>
        <v>4411.293999999999</v>
      </c>
      <c r="S22" s="21">
        <f t="shared" si="31"/>
        <v>4585.3029999999999</v>
      </c>
      <c r="U22" s="24" t="s">
        <v>157</v>
      </c>
      <c r="V22" s="11"/>
      <c r="W22" s="11">
        <v>136.94651455750596</v>
      </c>
      <c r="X22" s="14">
        <v>151.09299999999999</v>
      </c>
      <c r="Y22" s="14">
        <v>182.25700000000001</v>
      </c>
      <c r="Z22" s="14">
        <v>203.71799999999999</v>
      </c>
      <c r="AA22" s="14">
        <v>215.67400000000001</v>
      </c>
      <c r="AB22" s="14">
        <v>229.96199999999999</v>
      </c>
      <c r="AC22" s="14">
        <v>272.25900000000001</v>
      </c>
      <c r="AD22" s="14">
        <v>258.91300000000001</v>
      </c>
      <c r="AE22" s="14">
        <v>266.56700000000001</v>
      </c>
      <c r="AF22" s="14">
        <v>262.19499999999999</v>
      </c>
      <c r="AG22" s="14">
        <v>263.423</v>
      </c>
      <c r="AH22" s="14">
        <v>305.41899999999998</v>
      </c>
      <c r="AI22" s="14">
        <v>301.52</v>
      </c>
      <c r="AJ22" s="14">
        <v>355.15300000000002</v>
      </c>
      <c r="AK22" s="14">
        <v>431.68700000000001</v>
      </c>
      <c r="AL22" s="14">
        <v>454.03699999999998</v>
      </c>
      <c r="AM22" s="25">
        <v>486.512</v>
      </c>
    </row>
    <row r="23" spans="1:39" ht="16.8" customHeight="1" x14ac:dyDescent="0.3">
      <c r="A23" s="22" t="s">
        <v>136</v>
      </c>
      <c r="B23" s="12">
        <v>310.83903910873852</v>
      </c>
      <c r="C23" s="12">
        <v>352.78426702860708</v>
      </c>
      <c r="D23" s="12">
        <v>428.21699999999998</v>
      </c>
      <c r="E23" s="12">
        <v>417.92899999999997</v>
      </c>
      <c r="F23" s="12">
        <v>509.34100000000001</v>
      </c>
      <c r="G23" s="12">
        <v>512.13599999999997</v>
      </c>
      <c r="H23" s="12">
        <v>531.58500000000004</v>
      </c>
      <c r="I23" s="12">
        <v>520.53800000000001</v>
      </c>
      <c r="J23" s="12">
        <v>552.54600000000005</v>
      </c>
      <c r="K23" s="12">
        <v>734.322</v>
      </c>
      <c r="L23" s="12">
        <v>776.03399999999999</v>
      </c>
      <c r="M23" s="12">
        <v>874.31600000000003</v>
      </c>
      <c r="N23" s="12">
        <v>945.01</v>
      </c>
      <c r="O23" s="12">
        <v>1016.954</v>
      </c>
      <c r="P23" s="12">
        <v>1135.508</v>
      </c>
      <c r="Q23" s="12">
        <v>1313.7329999999999</v>
      </c>
      <c r="R23" s="12">
        <v>1398.162</v>
      </c>
      <c r="S23" s="28">
        <v>1471.442</v>
      </c>
      <c r="U23" s="29" t="s">
        <v>3</v>
      </c>
      <c r="V23" s="16">
        <f>9588.199/5.94573</f>
        <v>1612.6193083103337</v>
      </c>
      <c r="W23" s="16">
        <f>9757.543/5.94573</f>
        <v>1641.1009245290315</v>
      </c>
      <c r="X23" s="16">
        <v>1463.0730000000001</v>
      </c>
      <c r="Y23" s="16">
        <v>1402.482</v>
      </c>
      <c r="Z23" s="16">
        <v>1271.492</v>
      </c>
      <c r="AA23" s="16">
        <v>1270.527</v>
      </c>
      <c r="AB23" s="16">
        <v>1224.6980000000001</v>
      </c>
      <c r="AC23" s="16">
        <v>1237.818</v>
      </c>
      <c r="AD23" s="16">
        <v>1170.3</v>
      </c>
      <c r="AE23" s="16">
        <v>1179.4179999999999</v>
      </c>
      <c r="AF23" s="16">
        <v>1231.731</v>
      </c>
      <c r="AG23" s="16">
        <v>1268.74</v>
      </c>
      <c r="AH23" s="16">
        <v>1152.0840000000001</v>
      </c>
      <c r="AI23" s="16">
        <v>1216.1079999999999</v>
      </c>
      <c r="AJ23" s="16">
        <v>1019.591</v>
      </c>
      <c r="AK23" s="16">
        <v>987.46</v>
      </c>
      <c r="AL23" s="16">
        <v>950.06</v>
      </c>
      <c r="AM23" s="30">
        <v>1056.7629999999999</v>
      </c>
    </row>
    <row r="24" spans="1:39" ht="16.8" customHeight="1" x14ac:dyDescent="0.3">
      <c r="A24" s="22" t="s">
        <v>137</v>
      </c>
      <c r="B24" s="12">
        <v>1117.8176607414059</v>
      </c>
      <c r="C24" s="12">
        <v>1133.0490957376135</v>
      </c>
      <c r="D24" s="13">
        <v>1160.4190000000001</v>
      </c>
      <c r="E24" s="13">
        <v>1304.2329999999999</v>
      </c>
      <c r="F24" s="13">
        <v>1233.6220000000001</v>
      </c>
      <c r="G24" s="13">
        <v>1246.0840000000001</v>
      </c>
      <c r="H24" s="13">
        <v>1307.085</v>
      </c>
      <c r="I24" s="13">
        <v>1239.71</v>
      </c>
      <c r="J24" s="13">
        <v>1267.0820000000001</v>
      </c>
      <c r="K24" s="13">
        <v>1290.2180000000001</v>
      </c>
      <c r="L24" s="13">
        <v>1423.9359999999999</v>
      </c>
      <c r="M24" s="13">
        <v>1431.298</v>
      </c>
      <c r="N24" s="13">
        <v>1444.2739999999999</v>
      </c>
      <c r="O24" s="13">
        <v>1530.2539999999999</v>
      </c>
      <c r="P24" s="13">
        <v>1604.0039999999999</v>
      </c>
      <c r="Q24" s="13">
        <v>1723.08</v>
      </c>
      <c r="R24" s="13">
        <v>1822.8589999999999</v>
      </c>
      <c r="S24" s="23">
        <v>1874.5239999999999</v>
      </c>
      <c r="U24" s="18" t="s">
        <v>4</v>
      </c>
      <c r="V24" s="10">
        <f t="shared" ref="V24:AM24" si="32">V25+V29</f>
        <v>17008.685560898324</v>
      </c>
      <c r="W24" s="10">
        <f t="shared" si="32"/>
        <v>17856.794203571302</v>
      </c>
      <c r="X24" s="10">
        <f t="shared" si="32"/>
        <v>18840.173999999999</v>
      </c>
      <c r="Y24" s="10">
        <f t="shared" si="32"/>
        <v>19678.168000000001</v>
      </c>
      <c r="Z24" s="10">
        <f t="shared" si="32"/>
        <v>20832.186000000002</v>
      </c>
      <c r="AA24" s="10">
        <f t="shared" si="32"/>
        <v>22297.154999999999</v>
      </c>
      <c r="AB24" s="10">
        <f t="shared" si="32"/>
        <v>23893.646000000001</v>
      </c>
      <c r="AC24" s="10">
        <f t="shared" si="32"/>
        <v>25006.411000000004</v>
      </c>
      <c r="AD24" s="10">
        <f t="shared" si="32"/>
        <v>26284.236999999997</v>
      </c>
      <c r="AE24" s="10">
        <f t="shared" si="32"/>
        <v>27889.469000000001</v>
      </c>
      <c r="AF24" s="10">
        <f t="shared" si="32"/>
        <v>29940.222999999998</v>
      </c>
      <c r="AG24" s="10">
        <f t="shared" si="32"/>
        <v>32399.490999999998</v>
      </c>
      <c r="AH24" s="10">
        <f t="shared" si="32"/>
        <v>34021.665999999997</v>
      </c>
      <c r="AI24" s="10">
        <f t="shared" si="32"/>
        <v>36378.694000000003</v>
      </c>
      <c r="AJ24" s="10">
        <f t="shared" si="32"/>
        <v>39420.811000000002</v>
      </c>
      <c r="AK24" s="10">
        <f t="shared" si="32"/>
        <v>41013.005999999994</v>
      </c>
      <c r="AL24" s="10">
        <f t="shared" si="32"/>
        <v>42757.978999999999</v>
      </c>
      <c r="AM24" s="19">
        <f t="shared" si="32"/>
        <v>43864.165000000001</v>
      </c>
    </row>
    <row r="25" spans="1:39" ht="16.8" customHeight="1" x14ac:dyDescent="0.3">
      <c r="A25" s="22" t="s">
        <v>138</v>
      </c>
      <c r="B25" s="12">
        <v>63.075181685007564</v>
      </c>
      <c r="C25" s="12">
        <v>59.498329052950609</v>
      </c>
      <c r="D25" s="13">
        <v>54.860999999999997</v>
      </c>
      <c r="E25" s="13">
        <v>155.76499999999999</v>
      </c>
      <c r="F25" s="13">
        <v>205.11</v>
      </c>
      <c r="G25" s="13">
        <v>233.86699999999999</v>
      </c>
      <c r="H25" s="13">
        <v>280.27499999999998</v>
      </c>
      <c r="I25" s="13">
        <v>232.321</v>
      </c>
      <c r="J25" s="13">
        <v>285.245</v>
      </c>
      <c r="K25" s="13">
        <v>271.91399999999999</v>
      </c>
      <c r="L25" s="13">
        <v>255.65700000000001</v>
      </c>
      <c r="M25" s="13">
        <v>201.46899999999999</v>
      </c>
      <c r="N25" s="13">
        <v>142.94</v>
      </c>
      <c r="O25" s="13">
        <v>49.959000000000003</v>
      </c>
      <c r="P25" s="13">
        <v>2.5990000000000002</v>
      </c>
      <c r="Q25" s="13">
        <v>2.3860000000000001</v>
      </c>
      <c r="R25" s="13">
        <v>5.7430000000000003</v>
      </c>
      <c r="S25" s="23">
        <v>6.0259999999999998</v>
      </c>
      <c r="U25" s="20" t="s">
        <v>158</v>
      </c>
      <c r="V25" s="11">
        <f t="shared" ref="V25:AL25" si="33">V26+V27</f>
        <v>11742.563654925467</v>
      </c>
      <c r="W25" s="11">
        <f t="shared" si="33"/>
        <v>12261.154643752745</v>
      </c>
      <c r="X25" s="11">
        <f t="shared" si="33"/>
        <v>12867.119000000001</v>
      </c>
      <c r="Y25" s="11">
        <f t="shared" si="33"/>
        <v>13740.146000000001</v>
      </c>
      <c r="Z25" s="11">
        <f t="shared" si="33"/>
        <v>14620.954</v>
      </c>
      <c r="AA25" s="11">
        <f t="shared" si="33"/>
        <v>15820.418</v>
      </c>
      <c r="AB25" s="11">
        <f t="shared" si="33"/>
        <v>16807.78</v>
      </c>
      <c r="AC25" s="11">
        <f t="shared" si="33"/>
        <v>17531.260000000002</v>
      </c>
      <c r="AD25" s="11">
        <f t="shared" si="33"/>
        <v>18419.142999999996</v>
      </c>
      <c r="AE25" s="11">
        <f t="shared" si="33"/>
        <v>19036.716</v>
      </c>
      <c r="AF25" s="11">
        <f t="shared" si="33"/>
        <v>20760.989999999998</v>
      </c>
      <c r="AG25" s="11">
        <f t="shared" si="33"/>
        <v>22506.940999999999</v>
      </c>
      <c r="AH25" s="11">
        <f t="shared" si="33"/>
        <v>23517.528999999999</v>
      </c>
      <c r="AI25" s="11">
        <f t="shared" si="33"/>
        <v>24707.582999999999</v>
      </c>
      <c r="AJ25" s="11">
        <f t="shared" si="33"/>
        <v>27166.953000000001</v>
      </c>
      <c r="AK25" s="11">
        <f t="shared" si="33"/>
        <v>28329.878999999997</v>
      </c>
      <c r="AL25" s="11">
        <f t="shared" si="33"/>
        <v>29618.225999999999</v>
      </c>
      <c r="AM25" s="21">
        <f t="shared" ref="AM25" si="34">AM26+AM27</f>
        <v>30789.200000000001</v>
      </c>
    </row>
    <row r="26" spans="1:39" ht="16.8" customHeight="1" x14ac:dyDescent="0.3">
      <c r="A26" s="22" t="s">
        <v>139</v>
      </c>
      <c r="B26" s="12">
        <v>575.81003510082019</v>
      </c>
      <c r="C26" s="12">
        <v>419.66453236187988</v>
      </c>
      <c r="D26" s="13">
        <v>375.45</v>
      </c>
      <c r="E26" s="13">
        <v>384.101</v>
      </c>
      <c r="F26" s="13">
        <v>370.93099999999998</v>
      </c>
      <c r="G26" s="13">
        <v>391.84100000000001</v>
      </c>
      <c r="H26" s="13">
        <v>368.99299999999999</v>
      </c>
      <c r="I26" s="13">
        <v>356.863</v>
      </c>
      <c r="J26" s="13">
        <v>352.74299999999999</v>
      </c>
      <c r="K26" s="13">
        <v>355.27499999999998</v>
      </c>
      <c r="L26" s="13">
        <v>340.48700000000002</v>
      </c>
      <c r="M26" s="13">
        <v>818.26900000000001</v>
      </c>
      <c r="N26" s="13">
        <v>1042.905</v>
      </c>
      <c r="O26" s="13">
        <v>1056.4449999999999</v>
      </c>
      <c r="P26" s="13">
        <v>1063.2239999999999</v>
      </c>
      <c r="Q26" s="13">
        <v>1094.42</v>
      </c>
      <c r="R26" s="13">
        <v>1091.6079999999999</v>
      </c>
      <c r="S26" s="23">
        <v>1157.452</v>
      </c>
      <c r="U26" s="24" t="s">
        <v>45</v>
      </c>
      <c r="V26" s="14">
        <v>10992.250404912433</v>
      </c>
      <c r="W26" s="14">
        <v>11415.663341591362</v>
      </c>
      <c r="X26" s="14">
        <v>11953.827000000001</v>
      </c>
      <c r="Y26" s="14">
        <v>12973.386</v>
      </c>
      <c r="Z26" s="14">
        <v>13919.780999999999</v>
      </c>
      <c r="AA26" s="14">
        <v>14976.477999999999</v>
      </c>
      <c r="AB26" s="14">
        <v>15878.088</v>
      </c>
      <c r="AC26" s="14">
        <v>16558.359</v>
      </c>
      <c r="AD26" s="14">
        <v>17374.536999999997</v>
      </c>
      <c r="AE26" s="14">
        <v>17879.173999999999</v>
      </c>
      <c r="AF26" s="14">
        <v>19537.692999999999</v>
      </c>
      <c r="AG26" s="14">
        <v>21143.942999999999</v>
      </c>
      <c r="AH26" s="14">
        <v>22088.798999999999</v>
      </c>
      <c r="AI26" s="14">
        <v>23149.216</v>
      </c>
      <c r="AJ26" s="14">
        <v>25523.360000000001</v>
      </c>
      <c r="AK26" s="14">
        <v>26603.438999999998</v>
      </c>
      <c r="AL26" s="14">
        <v>27553.697</v>
      </c>
      <c r="AM26" s="25">
        <v>28655.444</v>
      </c>
    </row>
    <row r="27" spans="1:39" ht="16.8" customHeight="1" x14ac:dyDescent="0.3">
      <c r="A27" s="22" t="s">
        <v>140</v>
      </c>
      <c r="B27" s="12">
        <v>415.01363163143975</v>
      </c>
      <c r="C27" s="12">
        <v>213.40827787336457</v>
      </c>
      <c r="D27" s="13">
        <v>176.685</v>
      </c>
      <c r="E27" s="13">
        <v>168.12899999999999</v>
      </c>
      <c r="F27" s="13">
        <v>128.017</v>
      </c>
      <c r="G27" s="13">
        <v>117.64100000000001</v>
      </c>
      <c r="H27" s="13">
        <v>98.768000000000001</v>
      </c>
      <c r="I27" s="13">
        <v>81.891999999999996</v>
      </c>
      <c r="J27" s="13">
        <v>75.594999999999999</v>
      </c>
      <c r="K27" s="13">
        <v>66.683000000000007</v>
      </c>
      <c r="L27" s="13">
        <v>57.305</v>
      </c>
      <c r="M27" s="13">
        <v>83.304000000000002</v>
      </c>
      <c r="N27" s="13">
        <v>63.668999999999997</v>
      </c>
      <c r="O27" s="13">
        <v>64.671999999999997</v>
      </c>
      <c r="P27" s="13">
        <v>96.227999999999994</v>
      </c>
      <c r="Q27" s="13">
        <v>97.114000000000004</v>
      </c>
      <c r="R27" s="13">
        <v>92.921999999999997</v>
      </c>
      <c r="S27" s="23">
        <v>75.858999999999995</v>
      </c>
      <c r="U27" s="24" t="s">
        <v>44</v>
      </c>
      <c r="V27" s="14">
        <v>750.31325001303458</v>
      </c>
      <c r="W27" s="14">
        <v>845.49130216138303</v>
      </c>
      <c r="X27" s="14">
        <v>913.29199999999992</v>
      </c>
      <c r="Y27" s="14">
        <v>766.76</v>
      </c>
      <c r="Z27" s="14">
        <v>701.17300000000012</v>
      </c>
      <c r="AA27" s="14">
        <v>843.94</v>
      </c>
      <c r="AB27" s="14">
        <v>929.69200000000001</v>
      </c>
      <c r="AC27" s="14">
        <v>972.90099999999995</v>
      </c>
      <c r="AD27" s="14">
        <v>1044.606</v>
      </c>
      <c r="AE27" s="14">
        <v>1157.5419999999999</v>
      </c>
      <c r="AF27" s="14">
        <v>1223.297</v>
      </c>
      <c r="AG27" s="14">
        <v>1362.998</v>
      </c>
      <c r="AH27" s="14">
        <v>1428.73</v>
      </c>
      <c r="AI27" s="14">
        <v>1558.367</v>
      </c>
      <c r="AJ27" s="14">
        <v>1643.5930000000001</v>
      </c>
      <c r="AK27" s="14">
        <v>1726.44</v>
      </c>
      <c r="AL27" s="14">
        <v>2064.529</v>
      </c>
      <c r="AM27" s="25">
        <v>2133.7559999999999</v>
      </c>
    </row>
    <row r="28" spans="1:39" ht="16.8" customHeight="1" x14ac:dyDescent="0.3">
      <c r="A28" s="18"/>
      <c r="B28" s="10">
        <v>188.91961121678921</v>
      </c>
      <c r="C28" s="11" t="s">
        <v>33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5"/>
      <c r="U28" s="134" t="s">
        <v>166</v>
      </c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3">
        <v>1.53</v>
      </c>
      <c r="AM28" s="135">
        <v>0.158</v>
      </c>
    </row>
    <row r="29" spans="1:39" ht="16.8" customHeight="1" x14ac:dyDescent="0.3">
      <c r="A29" s="29" t="s">
        <v>141</v>
      </c>
      <c r="B29" s="16">
        <v>1342.0651459114356</v>
      </c>
      <c r="C29" s="16">
        <v>1214.3787222090475</v>
      </c>
      <c r="D29" s="16">
        <v>1049.0709999999999</v>
      </c>
      <c r="E29" s="16">
        <v>960.154</v>
      </c>
      <c r="F29" s="16">
        <v>825.65899999999999</v>
      </c>
      <c r="G29" s="16">
        <v>807.61699999999996</v>
      </c>
      <c r="H29" s="16">
        <v>734.68499999999995</v>
      </c>
      <c r="I29" s="16">
        <v>731.87700000000007</v>
      </c>
      <c r="J29" s="16">
        <v>705.46599999999989</v>
      </c>
      <c r="K29" s="16">
        <v>724.00800000000004</v>
      </c>
      <c r="L29" s="16">
        <v>787.26400000000001</v>
      </c>
      <c r="M29" s="16">
        <v>838.2</v>
      </c>
      <c r="N29" s="16">
        <v>731.81600000000003</v>
      </c>
      <c r="O29" s="16">
        <v>811.33100000000002</v>
      </c>
      <c r="P29" s="16">
        <v>760.15700000000004</v>
      </c>
      <c r="Q29" s="16">
        <v>712.72500000000002</v>
      </c>
      <c r="R29" s="16">
        <v>706.63699999999994</v>
      </c>
      <c r="S29" s="30">
        <v>801.90200000000004</v>
      </c>
      <c r="U29" s="20" t="s">
        <v>159</v>
      </c>
      <c r="V29" s="11">
        <f t="shared" ref="V29:AL29" si="35">V30+V31</f>
        <v>5266.1219059728573</v>
      </c>
      <c r="W29" s="11">
        <f t="shared" si="35"/>
        <v>5595.6395598185582</v>
      </c>
      <c r="X29" s="11">
        <f t="shared" si="35"/>
        <v>5973.0549999999994</v>
      </c>
      <c r="Y29" s="11">
        <f t="shared" si="35"/>
        <v>5938.0219999999999</v>
      </c>
      <c r="Z29" s="11">
        <f t="shared" si="35"/>
        <v>6211.232</v>
      </c>
      <c r="AA29" s="11">
        <f t="shared" si="35"/>
        <v>6476.7370000000001</v>
      </c>
      <c r="AB29" s="11">
        <f t="shared" si="35"/>
        <v>7085.866</v>
      </c>
      <c r="AC29" s="11">
        <f t="shared" si="35"/>
        <v>7475.1510000000007</v>
      </c>
      <c r="AD29" s="11">
        <f t="shared" si="35"/>
        <v>7865.0940000000001</v>
      </c>
      <c r="AE29" s="11">
        <f t="shared" si="35"/>
        <v>8852.7530000000006</v>
      </c>
      <c r="AF29" s="11">
        <f t="shared" si="35"/>
        <v>9179.2330000000002</v>
      </c>
      <c r="AG29" s="11">
        <f t="shared" si="35"/>
        <v>9892.5499999999993</v>
      </c>
      <c r="AH29" s="11">
        <f t="shared" si="35"/>
        <v>10504.137000000001</v>
      </c>
      <c r="AI29" s="11">
        <f t="shared" si="35"/>
        <v>11671.111000000001</v>
      </c>
      <c r="AJ29" s="11">
        <f t="shared" si="35"/>
        <v>12253.858</v>
      </c>
      <c r="AK29" s="11">
        <f t="shared" si="35"/>
        <v>12683.127</v>
      </c>
      <c r="AL29" s="11">
        <f t="shared" si="35"/>
        <v>13139.753000000001</v>
      </c>
      <c r="AM29" s="21">
        <f t="shared" ref="AM29" si="36">AM30+AM31</f>
        <v>13074.965</v>
      </c>
    </row>
    <row r="30" spans="1:39" ht="16.8" customHeight="1" x14ac:dyDescent="0.3">
      <c r="A30" s="18" t="s">
        <v>142</v>
      </c>
      <c r="B30" s="10">
        <f t="shared" ref="B30:R30" si="37">B31+B32+B35+B36</f>
        <v>5752.6678809834957</v>
      </c>
      <c r="C30" s="10">
        <f t="shared" si="37"/>
        <v>6454.2792895069233</v>
      </c>
      <c r="D30" s="10">
        <f t="shared" si="37"/>
        <v>6427.6059999999998</v>
      </c>
      <c r="E30" s="10">
        <f t="shared" si="37"/>
        <v>6870.8389999999999</v>
      </c>
      <c r="F30" s="10">
        <f t="shared" si="37"/>
        <v>6818.5049999999992</v>
      </c>
      <c r="G30" s="10">
        <f t="shared" si="37"/>
        <v>6857.9429999999993</v>
      </c>
      <c r="H30" s="10">
        <f t="shared" si="37"/>
        <v>7091.6500000000005</v>
      </c>
      <c r="I30" s="10">
        <f t="shared" si="37"/>
        <v>8046.973</v>
      </c>
      <c r="J30" s="10">
        <f t="shared" si="37"/>
        <v>8383.3289999999997</v>
      </c>
      <c r="K30" s="10">
        <f t="shared" si="37"/>
        <v>8407.2880000000005</v>
      </c>
      <c r="L30" s="10">
        <f t="shared" si="37"/>
        <v>8696.2419999999984</v>
      </c>
      <c r="M30" s="10">
        <f t="shared" si="37"/>
        <v>9990.23</v>
      </c>
      <c r="N30" s="10">
        <f t="shared" si="37"/>
        <v>9873.8900000000012</v>
      </c>
      <c r="O30" s="10">
        <f t="shared" si="37"/>
        <v>9765.5420000000013</v>
      </c>
      <c r="P30" s="10">
        <f t="shared" si="37"/>
        <v>10563.828000000001</v>
      </c>
      <c r="Q30" s="10">
        <f t="shared" si="37"/>
        <v>10866.120999999999</v>
      </c>
      <c r="R30" s="10">
        <f t="shared" si="37"/>
        <v>10961.437000000002</v>
      </c>
      <c r="S30" s="19">
        <f t="shared" ref="S30" si="38">S31+S32+S35+S36</f>
        <v>11300.042000000001</v>
      </c>
      <c r="U30" s="24" t="s">
        <v>45</v>
      </c>
      <c r="V30" s="14">
        <v>1179.4136296131844</v>
      </c>
      <c r="W30" s="14">
        <v>1308.883349899844</v>
      </c>
      <c r="X30" s="14">
        <v>1487.325</v>
      </c>
      <c r="Y30" s="14">
        <v>1332.9070000000002</v>
      </c>
      <c r="Z30" s="14">
        <v>1563.8050000000001</v>
      </c>
      <c r="AA30" s="14">
        <v>1726.2609999999997</v>
      </c>
      <c r="AB30" s="14">
        <v>2118.2190000000001</v>
      </c>
      <c r="AC30" s="14">
        <v>2335.317</v>
      </c>
      <c r="AD30" s="14">
        <v>2371.1530000000002</v>
      </c>
      <c r="AE30" s="14">
        <v>2917.1680000000001</v>
      </c>
      <c r="AF30" s="14">
        <v>3215.683</v>
      </c>
      <c r="AG30" s="14">
        <v>3435.674</v>
      </c>
      <c r="AH30" s="14">
        <v>3429.1039999999998</v>
      </c>
      <c r="AI30" s="14">
        <v>4129.0110000000004</v>
      </c>
      <c r="AJ30" s="14">
        <v>4664.7</v>
      </c>
      <c r="AK30" s="14">
        <v>4944.5290000000005</v>
      </c>
      <c r="AL30" s="14">
        <v>5222.5619999999999</v>
      </c>
      <c r="AM30" s="25">
        <v>5148.7089999999998</v>
      </c>
    </row>
    <row r="31" spans="1:39" ht="16.8" customHeight="1" x14ac:dyDescent="0.3">
      <c r="A31" s="20" t="s">
        <v>143</v>
      </c>
      <c r="B31" s="11">
        <v>244.4698968839823</v>
      </c>
      <c r="C31" s="11">
        <v>268.09710498122183</v>
      </c>
      <c r="D31" s="11">
        <v>270.51100000000002</v>
      </c>
      <c r="E31" s="11">
        <v>255.91699999999997</v>
      </c>
      <c r="F31" s="11">
        <v>291.25399999999996</v>
      </c>
      <c r="G31" s="11">
        <v>320.61900000000009</v>
      </c>
      <c r="H31" s="11">
        <v>318.62799999999999</v>
      </c>
      <c r="I31" s="11">
        <v>320.59199999999998</v>
      </c>
      <c r="J31" s="11">
        <v>342.03</v>
      </c>
      <c r="K31" s="11">
        <v>371.774</v>
      </c>
      <c r="L31" s="11">
        <v>399.01499999999999</v>
      </c>
      <c r="M31" s="11">
        <v>474.57100000000003</v>
      </c>
      <c r="N31" s="11">
        <v>534.10699999999997</v>
      </c>
      <c r="O31" s="11">
        <v>528.26499999999999</v>
      </c>
      <c r="P31" s="11">
        <v>491.94799999999998</v>
      </c>
      <c r="Q31" s="11">
        <v>540.05600000000004</v>
      </c>
      <c r="R31" s="11">
        <v>517.245</v>
      </c>
      <c r="S31" s="21">
        <v>483.08600000000001</v>
      </c>
      <c r="U31" s="24" t="s">
        <v>44</v>
      </c>
      <c r="V31" s="14">
        <v>4086.7082763596732</v>
      </c>
      <c r="W31" s="14">
        <v>4286.7562099187144</v>
      </c>
      <c r="X31" s="14">
        <v>4485.7299999999996</v>
      </c>
      <c r="Y31" s="14">
        <v>4605.1149999999998</v>
      </c>
      <c r="Z31" s="14">
        <v>4647.4269999999997</v>
      </c>
      <c r="AA31" s="14">
        <v>4750.4760000000006</v>
      </c>
      <c r="AB31" s="14">
        <v>4967.6469999999999</v>
      </c>
      <c r="AC31" s="14">
        <v>5139.8340000000007</v>
      </c>
      <c r="AD31" s="14">
        <v>5493.9409999999998</v>
      </c>
      <c r="AE31" s="14">
        <v>5935.585</v>
      </c>
      <c r="AF31" s="14">
        <v>5963.55</v>
      </c>
      <c r="AG31" s="14">
        <v>6456.8760000000002</v>
      </c>
      <c r="AH31" s="14">
        <v>7075.0330000000004</v>
      </c>
      <c r="AI31" s="14">
        <v>7542.1</v>
      </c>
      <c r="AJ31" s="14">
        <v>7589.1580000000004</v>
      </c>
      <c r="AK31" s="14">
        <v>7738.598</v>
      </c>
      <c r="AL31" s="14">
        <v>7917.1909999999998</v>
      </c>
      <c r="AM31" s="25">
        <v>7926.2560000000003</v>
      </c>
    </row>
    <row r="32" spans="1:39" ht="16.8" customHeight="1" x14ac:dyDescent="0.3">
      <c r="A32" s="20" t="s">
        <v>144</v>
      </c>
      <c r="B32" s="11">
        <f t="shared" ref="B32:R32" si="39">B33+B34</f>
        <v>2143.9121857198356</v>
      </c>
      <c r="C32" s="11">
        <f t="shared" si="39"/>
        <v>2427.0989432752576</v>
      </c>
      <c r="D32" s="11">
        <f t="shared" si="39"/>
        <v>2474.1909999999998</v>
      </c>
      <c r="E32" s="11">
        <f t="shared" si="39"/>
        <v>2674.5239999999999</v>
      </c>
      <c r="F32" s="11">
        <f t="shared" si="39"/>
        <v>2537.3699999999994</v>
      </c>
      <c r="G32" s="11">
        <f t="shared" si="39"/>
        <v>2561.2459999999996</v>
      </c>
      <c r="H32" s="11">
        <f t="shared" si="39"/>
        <v>2778.8009999999999</v>
      </c>
      <c r="I32" s="11">
        <f t="shared" si="39"/>
        <v>2759.6570000000002</v>
      </c>
      <c r="J32" s="11">
        <f t="shared" si="39"/>
        <v>2876.8220000000001</v>
      </c>
      <c r="K32" s="11">
        <f t="shared" si="39"/>
        <v>3130.5860000000002</v>
      </c>
      <c r="L32" s="11">
        <f t="shared" si="39"/>
        <v>3199.1839999999997</v>
      </c>
      <c r="M32" s="11">
        <f t="shared" si="39"/>
        <v>3778.636</v>
      </c>
      <c r="N32" s="11">
        <f t="shared" si="39"/>
        <v>3844.8760000000002</v>
      </c>
      <c r="O32" s="11">
        <f t="shared" si="39"/>
        <v>4064.7700000000004</v>
      </c>
      <c r="P32" s="11">
        <f t="shared" si="39"/>
        <v>3942.7440000000001</v>
      </c>
      <c r="Q32" s="11">
        <f t="shared" si="39"/>
        <v>3862.096</v>
      </c>
      <c r="R32" s="11">
        <f t="shared" si="39"/>
        <v>3812.9360000000001</v>
      </c>
      <c r="S32" s="21">
        <f t="shared" ref="S32" si="40">S33+S34</f>
        <v>3958.0809999999997</v>
      </c>
      <c r="T32" s="4"/>
      <c r="U32" s="134" t="s">
        <v>166</v>
      </c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133">
        <v>57.962000000000003</v>
      </c>
      <c r="AM32" s="135">
        <v>59.05</v>
      </c>
    </row>
    <row r="33" spans="1:39" ht="16.8" customHeight="1" x14ac:dyDescent="0.3">
      <c r="A33" s="22" t="s">
        <v>12</v>
      </c>
      <c r="B33" s="13"/>
      <c r="C33" s="13">
        <v>357.8386505946284</v>
      </c>
      <c r="D33" s="13">
        <v>390.67899999999997</v>
      </c>
      <c r="E33" s="13">
        <v>312.15999999999997</v>
      </c>
      <c r="F33" s="13">
        <v>341.20700000000005</v>
      </c>
      <c r="G33" s="13">
        <v>332.58199999999994</v>
      </c>
      <c r="H33" s="13">
        <v>403.75599999999997</v>
      </c>
      <c r="I33" s="13">
        <v>373.536</v>
      </c>
      <c r="J33" s="13">
        <v>353.13299999999992</v>
      </c>
      <c r="K33" s="13">
        <v>394.67500000000001</v>
      </c>
      <c r="L33" s="13">
        <v>415.62200000000001</v>
      </c>
      <c r="M33" s="13">
        <v>651.15700000000004</v>
      </c>
      <c r="N33" s="13">
        <v>493.33800000000002</v>
      </c>
      <c r="O33" s="13">
        <v>474.22</v>
      </c>
      <c r="P33" s="13">
        <v>452.666</v>
      </c>
      <c r="Q33" s="13">
        <v>460.495</v>
      </c>
      <c r="R33" s="13">
        <v>479.33</v>
      </c>
      <c r="S33" s="23">
        <v>480.21800000000002</v>
      </c>
      <c r="U33" s="18" t="s">
        <v>5</v>
      </c>
      <c r="V33" s="10">
        <f t="shared" ref="V33:AM33" si="41">V7+V15+V16+V17+V20+V23+V24</f>
        <v>44181.806271055029</v>
      </c>
      <c r="W33" s="10">
        <f t="shared" si="41"/>
        <v>45384.65436540173</v>
      </c>
      <c r="X33" s="10">
        <f t="shared" si="41"/>
        <v>46542.117000000006</v>
      </c>
      <c r="Y33" s="10">
        <f t="shared" si="41"/>
        <v>48200.946000000011</v>
      </c>
      <c r="Z33" s="10">
        <f t="shared" si="41"/>
        <v>49330.559999999998</v>
      </c>
      <c r="AA33" s="10">
        <f t="shared" si="41"/>
        <v>51023.587</v>
      </c>
      <c r="AB33" s="10">
        <f t="shared" si="41"/>
        <v>52635.404000000002</v>
      </c>
      <c r="AC33" s="10">
        <f t="shared" si="41"/>
        <v>54845.934999999998</v>
      </c>
      <c r="AD33" s="10">
        <f t="shared" si="41"/>
        <v>56880.773000000001</v>
      </c>
      <c r="AE33" s="10">
        <f t="shared" si="41"/>
        <v>59374.149000000005</v>
      </c>
      <c r="AF33" s="10">
        <f t="shared" si="41"/>
        <v>62004.305000000008</v>
      </c>
      <c r="AG33" s="10">
        <f t="shared" si="41"/>
        <v>66137.657999999996</v>
      </c>
      <c r="AH33" s="10">
        <f t="shared" si="41"/>
        <v>68448.264999999999</v>
      </c>
      <c r="AI33" s="10">
        <f t="shared" si="41"/>
        <v>70547.394</v>
      </c>
      <c r="AJ33" s="10">
        <f t="shared" si="41"/>
        <v>73594.510000000009</v>
      </c>
      <c r="AK33" s="10">
        <f t="shared" si="41"/>
        <v>75893.999999999985</v>
      </c>
      <c r="AL33" s="10">
        <f t="shared" si="41"/>
        <v>78011.801999999996</v>
      </c>
      <c r="AM33" s="19">
        <f t="shared" si="41"/>
        <v>80814.052000000011</v>
      </c>
    </row>
    <row r="34" spans="1:39" ht="16.8" customHeight="1" x14ac:dyDescent="0.3">
      <c r="A34" s="22" t="s">
        <v>13</v>
      </c>
      <c r="B34" s="12">
        <v>2143.9121857198356</v>
      </c>
      <c r="C34" s="12">
        <v>2069.2602926806294</v>
      </c>
      <c r="D34" s="12">
        <v>2083.5119999999997</v>
      </c>
      <c r="E34" s="12">
        <v>2362.364</v>
      </c>
      <c r="F34" s="12">
        <v>2196.1629999999996</v>
      </c>
      <c r="G34" s="12">
        <v>2228.6639999999998</v>
      </c>
      <c r="H34" s="12">
        <v>2375.0450000000001</v>
      </c>
      <c r="I34" s="12">
        <v>2386.1210000000001</v>
      </c>
      <c r="J34" s="12">
        <v>2523.6890000000003</v>
      </c>
      <c r="K34" s="12">
        <v>2735.9110000000001</v>
      </c>
      <c r="L34" s="12">
        <v>2783.5619999999999</v>
      </c>
      <c r="M34" s="12">
        <v>3127.4789999999998</v>
      </c>
      <c r="N34" s="12">
        <v>3351.538</v>
      </c>
      <c r="O34" s="12">
        <v>3590.55</v>
      </c>
      <c r="P34" s="12">
        <v>3490.078</v>
      </c>
      <c r="Q34" s="12">
        <v>3401.6010000000001</v>
      </c>
      <c r="R34" s="12">
        <v>3333.6060000000002</v>
      </c>
      <c r="S34" s="28">
        <v>3477.8629999999998</v>
      </c>
      <c r="T34" s="4"/>
      <c r="U34" s="24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9"/>
    </row>
    <row r="35" spans="1:39" ht="16.8" customHeight="1" x14ac:dyDescent="0.3">
      <c r="A35" s="20" t="s">
        <v>145</v>
      </c>
      <c r="B35" s="14">
        <v>1821.8960497701712</v>
      </c>
      <c r="C35" s="14">
        <v>2209.1566552803442</v>
      </c>
      <c r="D35" s="14">
        <v>2211.694</v>
      </c>
      <c r="E35" s="14">
        <v>2048.2349999999997</v>
      </c>
      <c r="F35" s="14">
        <v>2252.761</v>
      </c>
      <c r="G35" s="14">
        <v>2214.6909999999998</v>
      </c>
      <c r="H35" s="14">
        <v>2208.5650000000001</v>
      </c>
      <c r="I35" s="14">
        <v>2995.1769999999997</v>
      </c>
      <c r="J35" s="14">
        <v>2949.83</v>
      </c>
      <c r="K35" s="14">
        <v>2530.7559999999999</v>
      </c>
      <c r="L35" s="14">
        <v>2498.9050000000002</v>
      </c>
      <c r="M35" s="14">
        <v>2506.3270000000002</v>
      </c>
      <c r="N35" s="14">
        <v>2476.4490000000001</v>
      </c>
      <c r="O35" s="14">
        <v>2167.6819999999998</v>
      </c>
      <c r="P35" s="14">
        <v>2167.739</v>
      </c>
      <c r="Q35" s="14">
        <v>2542.971</v>
      </c>
      <c r="R35" s="14">
        <v>2298.598</v>
      </c>
      <c r="S35" s="25">
        <v>1892.547</v>
      </c>
      <c r="U35" s="29" t="s">
        <v>28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9"/>
    </row>
    <row r="36" spans="1:39" ht="16.8" customHeight="1" x14ac:dyDescent="0.3">
      <c r="A36" s="20" t="s">
        <v>146</v>
      </c>
      <c r="B36" s="11">
        <v>1542.3897486095063</v>
      </c>
      <c r="C36" s="11">
        <v>1549.9265859700995</v>
      </c>
      <c r="D36" s="14">
        <v>1471.21</v>
      </c>
      <c r="E36" s="14">
        <v>1892.163</v>
      </c>
      <c r="F36" s="14">
        <v>1737.12</v>
      </c>
      <c r="G36" s="14">
        <v>1761.3869999999999</v>
      </c>
      <c r="H36" s="14">
        <v>1785.6559999999999</v>
      </c>
      <c r="I36" s="14">
        <v>1971.547</v>
      </c>
      <c r="J36" s="14">
        <v>2214.6469999999999</v>
      </c>
      <c r="K36" s="14">
        <v>2374.172</v>
      </c>
      <c r="L36" s="14">
        <v>2599.1379999999999</v>
      </c>
      <c r="M36" s="14">
        <v>3230.6959999999999</v>
      </c>
      <c r="N36" s="14">
        <v>3018.4580000000001</v>
      </c>
      <c r="O36" s="14">
        <v>3004.8249999999998</v>
      </c>
      <c r="P36" s="14">
        <v>3961.3969999999999</v>
      </c>
      <c r="Q36" s="14">
        <v>3920.998</v>
      </c>
      <c r="R36" s="14">
        <v>4332.6580000000004</v>
      </c>
      <c r="S36" s="25">
        <v>4966.3280000000004</v>
      </c>
      <c r="U36" s="24" t="s">
        <v>31</v>
      </c>
      <c r="V36" s="37"/>
      <c r="W36" s="37"/>
      <c r="X36" s="37"/>
      <c r="Y36" s="37"/>
      <c r="Z36" s="37"/>
      <c r="AA36" s="37"/>
      <c r="AB36" s="37"/>
      <c r="AC36" s="37"/>
      <c r="AD36" s="37"/>
      <c r="AE36" s="14">
        <v>6812</v>
      </c>
      <c r="AF36" s="14">
        <v>1560.4169999999999</v>
      </c>
      <c r="AG36" s="14">
        <v>1761.41</v>
      </c>
      <c r="AH36" s="14">
        <v>1628.623</v>
      </c>
      <c r="AI36" s="14">
        <v>1448.9739999999999</v>
      </c>
      <c r="AJ36" s="14">
        <v>1455.047</v>
      </c>
      <c r="AK36" s="14">
        <v>1605.0740000000001</v>
      </c>
      <c r="AL36" s="14">
        <v>1611.7860000000001</v>
      </c>
      <c r="AM36" s="25">
        <v>1670.904</v>
      </c>
    </row>
    <row r="37" spans="1:39" ht="16.8" customHeight="1" x14ac:dyDescent="0.3">
      <c r="A37" s="131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73"/>
      <c r="M37" s="37"/>
      <c r="N37" s="37"/>
      <c r="O37" s="37"/>
      <c r="P37" s="37"/>
      <c r="Q37" s="37"/>
      <c r="R37" s="37"/>
      <c r="S37" s="39"/>
      <c r="U37" s="24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9"/>
    </row>
    <row r="38" spans="1:39" ht="16.8" customHeight="1" x14ac:dyDescent="0.3">
      <c r="A38" s="31" t="s">
        <v>8</v>
      </c>
      <c r="B38" s="32">
        <f>B7+B28+B29+B30</f>
        <v>44181.806102867107</v>
      </c>
      <c r="C38" s="32">
        <f t="shared" ref="C38:S38" si="42">C7+C29+C30</f>
        <v>45766.561717400546</v>
      </c>
      <c r="D38" s="32">
        <f t="shared" si="42"/>
        <v>46959.036999999997</v>
      </c>
      <c r="E38" s="32">
        <f t="shared" si="42"/>
        <v>48636.930999999997</v>
      </c>
      <c r="F38" s="32">
        <f t="shared" si="42"/>
        <v>49794.947999999997</v>
      </c>
      <c r="G38" s="32">
        <f t="shared" si="42"/>
        <v>51142.535000000003</v>
      </c>
      <c r="H38" s="32">
        <f t="shared" si="42"/>
        <v>52635.421999999999</v>
      </c>
      <c r="I38" s="32">
        <f t="shared" si="42"/>
        <v>54845.917000000009</v>
      </c>
      <c r="J38" s="32">
        <f t="shared" si="42"/>
        <v>56880.77199999999</v>
      </c>
      <c r="K38" s="32">
        <f t="shared" si="42"/>
        <v>59374.137999999999</v>
      </c>
      <c r="L38" s="32">
        <f t="shared" si="42"/>
        <v>62004.296000000009</v>
      </c>
      <c r="M38" s="32">
        <f t="shared" si="42"/>
        <v>66137.642000000007</v>
      </c>
      <c r="N38" s="32">
        <f t="shared" si="42"/>
        <v>68448.260000000009</v>
      </c>
      <c r="O38" s="32">
        <f t="shared" si="42"/>
        <v>70547.394</v>
      </c>
      <c r="P38" s="32">
        <f t="shared" si="42"/>
        <v>73594.510999999999</v>
      </c>
      <c r="Q38" s="32">
        <f t="shared" si="42"/>
        <v>75894.000999999989</v>
      </c>
      <c r="R38" s="32">
        <f t="shared" si="42"/>
        <v>78011.822</v>
      </c>
      <c r="S38" s="33">
        <f t="shared" si="42"/>
        <v>80813.998999999996</v>
      </c>
      <c r="T38" s="4"/>
      <c r="U38" s="29" t="s">
        <v>112</v>
      </c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9"/>
    </row>
    <row r="39" spans="1:39" ht="16.8" customHeight="1" x14ac:dyDescent="0.3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66"/>
      <c r="P39" s="66"/>
      <c r="Q39" s="66"/>
      <c r="R39" s="66"/>
      <c r="S39" s="66"/>
      <c r="U39" s="18" t="s">
        <v>6</v>
      </c>
      <c r="V39" s="44">
        <f>100*(V7+V15+V16+V17)/(V33-V28-V32)</f>
        <v>56.02161763744293</v>
      </c>
      <c r="W39" s="44">
        <f>100*(W7+W15+W16+W17)/(W33-W28-W32)</f>
        <v>55.292030513483738</v>
      </c>
      <c r="X39" s="44">
        <f t="shared" ref="X39:AM39" si="43">100*(X7+X15+X16+X17)/(X33-X28-X32)</f>
        <v>54.695584646482679</v>
      </c>
      <c r="Y39" s="44">
        <f t="shared" si="43"/>
        <v>54.618419729770444</v>
      </c>
      <c r="Z39" s="44">
        <f t="shared" si="43"/>
        <v>53.637998433425437</v>
      </c>
      <c r="AA39" s="44">
        <f t="shared" si="43"/>
        <v>52.367400198657144</v>
      </c>
      <c r="AB39" s="44">
        <f t="shared" si="43"/>
        <v>50.964504803648886</v>
      </c>
      <c r="AC39" s="44">
        <f t="shared" si="43"/>
        <v>50.893635052442811</v>
      </c>
      <c r="AD39" s="44">
        <f t="shared" si="43"/>
        <v>50.588987248819556</v>
      </c>
      <c r="AE39" s="44">
        <f t="shared" si="43"/>
        <v>49.975345330844235</v>
      </c>
      <c r="AF39" s="44">
        <f t="shared" si="43"/>
        <v>48.744307350917012</v>
      </c>
      <c r="AG39" s="44">
        <f t="shared" si="43"/>
        <v>48.203819070823464</v>
      </c>
      <c r="AH39" s="44">
        <f t="shared" si="43"/>
        <v>47.746695990029842</v>
      </c>
      <c r="AI39" s="44">
        <f t="shared" si="43"/>
        <v>45.910533562728055</v>
      </c>
      <c r="AJ39" s="44">
        <f t="shared" si="43"/>
        <v>44.241249788876907</v>
      </c>
      <c r="AK39" s="44">
        <f t="shared" si="43"/>
        <v>43.829202572008327</v>
      </c>
      <c r="AL39" s="44">
        <f t="shared" si="43"/>
        <v>43.192841879862186</v>
      </c>
      <c r="AM39" s="46">
        <f t="shared" si="43"/>
        <v>43.647740809207683</v>
      </c>
    </row>
    <row r="40" spans="1:39" ht="16.8" customHeight="1" x14ac:dyDescent="0.3">
      <c r="A40" s="5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6"/>
      <c r="S40" s="66"/>
      <c r="U40" s="40" t="s">
        <v>160</v>
      </c>
      <c r="V40" s="14">
        <f t="shared" ref="V40:AM40" si="44">B35+B36</f>
        <v>3364.2857983796775</v>
      </c>
      <c r="W40" s="14">
        <f t="shared" si="44"/>
        <v>3759.0832412504437</v>
      </c>
      <c r="X40" s="14">
        <f t="shared" si="44"/>
        <v>3682.904</v>
      </c>
      <c r="Y40" s="14">
        <f t="shared" si="44"/>
        <v>3940.3979999999997</v>
      </c>
      <c r="Z40" s="14">
        <f t="shared" si="44"/>
        <v>3989.8809999999999</v>
      </c>
      <c r="AA40" s="14">
        <f t="shared" si="44"/>
        <v>3976.0779999999995</v>
      </c>
      <c r="AB40" s="14">
        <f t="shared" si="44"/>
        <v>3994.221</v>
      </c>
      <c r="AC40" s="14">
        <f t="shared" si="44"/>
        <v>4966.7240000000002</v>
      </c>
      <c r="AD40" s="14">
        <f t="shared" si="44"/>
        <v>5164.4769999999999</v>
      </c>
      <c r="AE40" s="14">
        <f t="shared" si="44"/>
        <v>4904.9279999999999</v>
      </c>
      <c r="AF40" s="14">
        <f t="shared" si="44"/>
        <v>5098.0429999999997</v>
      </c>
      <c r="AG40" s="14">
        <f t="shared" si="44"/>
        <v>5737.0230000000001</v>
      </c>
      <c r="AH40" s="14">
        <f t="shared" si="44"/>
        <v>5494.9070000000002</v>
      </c>
      <c r="AI40" s="14">
        <f t="shared" si="44"/>
        <v>5172.5069999999996</v>
      </c>
      <c r="AJ40" s="14">
        <f t="shared" si="44"/>
        <v>6129.1360000000004</v>
      </c>
      <c r="AK40" s="14">
        <f t="shared" si="44"/>
        <v>6463.9690000000001</v>
      </c>
      <c r="AL40" s="14">
        <f t="shared" si="44"/>
        <v>6631.2560000000003</v>
      </c>
      <c r="AM40" s="25">
        <f t="shared" si="44"/>
        <v>6858.875</v>
      </c>
    </row>
    <row r="41" spans="1:39" ht="16.2" customHeight="1" x14ac:dyDescent="0.3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66"/>
      <c r="S41" s="66"/>
      <c r="U41" s="40" t="s">
        <v>165</v>
      </c>
      <c r="V41" s="14">
        <f t="shared" ref="V41:AM41" si="45">V13+V14</f>
        <v>-280.26011944706534</v>
      </c>
      <c r="W41" s="14">
        <f t="shared" si="45"/>
        <v>-68.248305927110721</v>
      </c>
      <c r="X41" s="14">
        <f t="shared" si="45"/>
        <v>181.70599999999999</v>
      </c>
      <c r="Y41" s="14">
        <f t="shared" si="45"/>
        <v>928.77</v>
      </c>
      <c r="Z41" s="14">
        <f t="shared" si="45"/>
        <v>1036.5840000000001</v>
      </c>
      <c r="AA41" s="14">
        <f t="shared" si="45"/>
        <v>1306.511</v>
      </c>
      <c r="AB41" s="14">
        <f t="shared" si="45"/>
        <v>1209.461</v>
      </c>
      <c r="AC41" s="14">
        <f t="shared" si="45"/>
        <v>1888.4229999999998</v>
      </c>
      <c r="AD41" s="14">
        <f t="shared" si="45"/>
        <v>2402.0030000000002</v>
      </c>
      <c r="AE41" s="14">
        <f t="shared" si="45"/>
        <v>3794.2930000000001</v>
      </c>
      <c r="AF41" s="14">
        <f t="shared" si="45"/>
        <v>4092.0030000000002</v>
      </c>
      <c r="AG41" s="14">
        <f t="shared" si="45"/>
        <v>5459.3279999999995</v>
      </c>
      <c r="AH41" s="14">
        <f t="shared" si="45"/>
        <v>6079.4970000000003</v>
      </c>
      <c r="AI41" s="14">
        <f t="shared" si="45"/>
        <v>5042.6419999999998</v>
      </c>
      <c r="AJ41" s="14">
        <f t="shared" si="45"/>
        <v>5175.4520000000002</v>
      </c>
      <c r="AK41" s="14">
        <f t="shared" si="45"/>
        <v>5826.2920000000004</v>
      </c>
      <c r="AL41" s="14">
        <f t="shared" si="45"/>
        <v>9258.2160000000003</v>
      </c>
      <c r="AM41" s="25">
        <f t="shared" si="45"/>
        <v>10873.162</v>
      </c>
    </row>
    <row r="42" spans="1:39" ht="16.2" customHeight="1" x14ac:dyDescent="0.3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67"/>
      <c r="S42" s="67"/>
      <c r="U42" s="40" t="s">
        <v>164</v>
      </c>
      <c r="V42" s="11">
        <f t="shared" ref="V42:AM42" si="46">V26+V30</f>
        <v>12171.664034525616</v>
      </c>
      <c r="W42" s="11">
        <f t="shared" si="46"/>
        <v>12724.546691491207</v>
      </c>
      <c r="X42" s="11">
        <f t="shared" si="46"/>
        <v>13441.152000000002</v>
      </c>
      <c r="Y42" s="11">
        <f t="shared" si="46"/>
        <v>14306.293000000001</v>
      </c>
      <c r="Z42" s="11">
        <f t="shared" si="46"/>
        <v>15483.585999999999</v>
      </c>
      <c r="AA42" s="11">
        <f t="shared" si="46"/>
        <v>16702.738999999998</v>
      </c>
      <c r="AB42" s="11">
        <f t="shared" si="46"/>
        <v>17996.307000000001</v>
      </c>
      <c r="AC42" s="11">
        <f t="shared" si="46"/>
        <v>18893.675999999999</v>
      </c>
      <c r="AD42" s="11">
        <f t="shared" si="46"/>
        <v>19745.689999999995</v>
      </c>
      <c r="AE42" s="11">
        <f t="shared" si="46"/>
        <v>20796.342000000001</v>
      </c>
      <c r="AF42" s="11">
        <f t="shared" si="46"/>
        <v>22753.376</v>
      </c>
      <c r="AG42" s="11">
        <f t="shared" si="46"/>
        <v>24579.616999999998</v>
      </c>
      <c r="AH42" s="11">
        <f t="shared" si="46"/>
        <v>25517.902999999998</v>
      </c>
      <c r="AI42" s="11">
        <f t="shared" si="46"/>
        <v>27278.226999999999</v>
      </c>
      <c r="AJ42" s="11">
        <f t="shared" si="46"/>
        <v>30188.06</v>
      </c>
      <c r="AK42" s="11">
        <f t="shared" si="46"/>
        <v>31547.968000000001</v>
      </c>
      <c r="AL42" s="11">
        <f t="shared" si="46"/>
        <v>32776.258999999998</v>
      </c>
      <c r="AM42" s="21">
        <f t="shared" si="46"/>
        <v>33804.152999999998</v>
      </c>
    </row>
    <row r="43" spans="1:39" ht="16.2" customHeight="1" x14ac:dyDescent="0.3">
      <c r="R43" s="65"/>
      <c r="S43" s="65"/>
      <c r="U43" s="24" t="s">
        <v>161</v>
      </c>
      <c r="V43" s="14">
        <f>1000000*V42/5171302</f>
        <v>2353.6942987521547</v>
      </c>
      <c r="W43" s="14">
        <f>1000000*W42/5181115</f>
        <v>2455.9475501877891</v>
      </c>
      <c r="X43" s="14">
        <f>1000000*X42/5194901</f>
        <v>2587.3740423542245</v>
      </c>
      <c r="Y43" s="14">
        <f>1000000*Y42/5206295</f>
        <v>2747.8836677522117</v>
      </c>
      <c r="Z43" s="14">
        <f>1000000*Z42/5219732</f>
        <v>2966.3565102576149</v>
      </c>
      <c r="AA43" s="14">
        <f>1000000*AA42/5236611</f>
        <v>3189.6085082508512</v>
      </c>
      <c r="AB43" s="14">
        <f>1000000*AB42/5255580</f>
        <v>3424.2285342436039</v>
      </c>
      <c r="AC43" s="14">
        <f>1000000*AC42/5276955</f>
        <v>3580.4125674749926</v>
      </c>
      <c r="AD43" s="14">
        <f>1000000*AD42/5300484</f>
        <v>3725.2616930831214</v>
      </c>
      <c r="AE43" s="14">
        <f>1000000*AE42/5326314</f>
        <v>3904.4528730375264</v>
      </c>
      <c r="AF43" s="14">
        <f>1000000*AF42/5326314</f>
        <v>4271.8803284973437</v>
      </c>
      <c r="AG43" s="14">
        <f>1000000*AG42/5375276</f>
        <v>4572.7171962890834</v>
      </c>
      <c r="AH43" s="14">
        <f>1000000*AH42/5401267</f>
        <v>4724.4291015422859</v>
      </c>
      <c r="AI43" s="14">
        <f>1000000*AI42/5426674</f>
        <v>5026.6935142962338</v>
      </c>
      <c r="AJ43" s="14">
        <f>1000000*AJ42/5451270</f>
        <v>5537.8031174386888</v>
      </c>
      <c r="AK43" s="14">
        <f>1000000*AK42/5471753</f>
        <v>5765.6052822559786</v>
      </c>
      <c r="AL43" s="14">
        <f>1000000*AL42/5487308</f>
        <v>5973.1035691818279</v>
      </c>
      <c r="AM43" s="25">
        <f>1000000*AM42/5503297</f>
        <v>6142.5274703509549</v>
      </c>
    </row>
    <row r="44" spans="1:39" ht="14.25" customHeight="1" x14ac:dyDescent="0.3">
      <c r="R44" s="67"/>
      <c r="S44" s="67"/>
      <c r="U44" s="129" t="s">
        <v>162</v>
      </c>
      <c r="V44" s="41">
        <f t="shared" ref="V44:AM44" si="47">B25+B26</f>
        <v>638.88521678582777</v>
      </c>
      <c r="W44" s="41">
        <f t="shared" si="47"/>
        <v>479.1628614148305</v>
      </c>
      <c r="X44" s="41">
        <f t="shared" si="47"/>
        <v>430.31099999999998</v>
      </c>
      <c r="Y44" s="41">
        <f t="shared" si="47"/>
        <v>539.86599999999999</v>
      </c>
      <c r="Z44" s="41">
        <f t="shared" si="47"/>
        <v>576.04099999999994</v>
      </c>
      <c r="AA44" s="41">
        <f t="shared" si="47"/>
        <v>625.70799999999997</v>
      </c>
      <c r="AB44" s="41">
        <f t="shared" si="47"/>
        <v>649.26800000000003</v>
      </c>
      <c r="AC44" s="41">
        <f t="shared" si="47"/>
        <v>589.18399999999997</v>
      </c>
      <c r="AD44" s="41">
        <f t="shared" si="47"/>
        <v>637.98800000000006</v>
      </c>
      <c r="AE44" s="41">
        <f t="shared" si="47"/>
        <v>627.18899999999996</v>
      </c>
      <c r="AF44" s="41">
        <f t="shared" si="47"/>
        <v>596.14400000000001</v>
      </c>
      <c r="AG44" s="41">
        <f t="shared" si="47"/>
        <v>1019.7380000000001</v>
      </c>
      <c r="AH44" s="41">
        <f t="shared" si="47"/>
        <v>1185.845</v>
      </c>
      <c r="AI44" s="41">
        <f t="shared" si="47"/>
        <v>1106.404</v>
      </c>
      <c r="AJ44" s="41">
        <f t="shared" si="47"/>
        <v>1065.8229999999999</v>
      </c>
      <c r="AK44" s="41">
        <f t="shared" si="47"/>
        <v>1096.806</v>
      </c>
      <c r="AL44" s="41">
        <f t="shared" si="47"/>
        <v>1097.3509999999999</v>
      </c>
      <c r="AM44" s="42">
        <f t="shared" si="47"/>
        <v>1163.4780000000001</v>
      </c>
    </row>
    <row r="45" spans="1:39" ht="14.25" customHeight="1" x14ac:dyDescent="0.3">
      <c r="R45" s="66"/>
      <c r="S45" s="66"/>
    </row>
    <row r="46" spans="1:39" ht="14.25" customHeight="1" x14ac:dyDescent="0.3">
      <c r="R46" s="66"/>
      <c r="S46" s="66"/>
    </row>
    <row r="47" spans="1:39" ht="14.25" customHeight="1" x14ac:dyDescent="0.3">
      <c r="R47" s="66"/>
      <c r="S47" s="66"/>
    </row>
    <row r="48" spans="1:39" ht="14.25" customHeight="1" x14ac:dyDescent="0.3">
      <c r="R48" s="66"/>
      <c r="S48" s="66"/>
    </row>
    <row r="49" spans="18:20" ht="14.25" customHeight="1" x14ac:dyDescent="0.3">
      <c r="R49" s="67"/>
      <c r="S49" s="67"/>
      <c r="T49" s="5"/>
    </row>
    <row r="50" spans="18:20" ht="14.25" customHeight="1" x14ac:dyDescent="0.3">
      <c r="R50" s="65"/>
      <c r="S50" s="65"/>
    </row>
    <row r="51" spans="18:20" ht="14.25" customHeight="1" x14ac:dyDescent="0.3">
      <c r="R51" s="66"/>
      <c r="S51" s="66"/>
    </row>
    <row r="52" spans="18:20" ht="14.25" customHeight="1" x14ac:dyDescent="0.3">
      <c r="R52" s="66"/>
      <c r="S52" s="66"/>
    </row>
    <row r="53" spans="18:20" ht="14.25" customHeight="1" x14ac:dyDescent="0.3">
      <c r="R53" s="66"/>
      <c r="S53" s="66"/>
    </row>
    <row r="54" spans="18:20" ht="14.25" customHeight="1" x14ac:dyDescent="0.3">
      <c r="R54" s="66"/>
      <c r="S54" s="66"/>
    </row>
    <row r="55" spans="18:20" ht="14.25" customHeight="1" x14ac:dyDescent="0.3">
      <c r="R55" s="67"/>
      <c r="S55" s="67"/>
    </row>
    <row r="56" spans="18:20" ht="14.25" customHeight="1" x14ac:dyDescent="0.3">
      <c r="R56" s="67"/>
      <c r="S56" s="67"/>
    </row>
    <row r="57" spans="18:20" ht="14.25" customHeight="1" x14ac:dyDescent="0.3">
      <c r="R57" s="66"/>
      <c r="S57" s="66"/>
    </row>
    <row r="58" spans="18:20" ht="14.25" customHeight="1" x14ac:dyDescent="0.3">
      <c r="R58" s="66"/>
      <c r="S58" s="66"/>
    </row>
    <row r="59" spans="18:20" ht="14.25" customHeight="1" x14ac:dyDescent="0.3">
      <c r="R59" s="66"/>
      <c r="S59" s="66"/>
    </row>
    <row r="60" spans="18:20" ht="14.25" customHeight="1" x14ac:dyDescent="0.3">
      <c r="R60" s="66"/>
      <c r="S60" s="66"/>
    </row>
    <row r="61" spans="18:20" ht="14.25" customHeight="1" x14ac:dyDescent="0.3">
      <c r="R61" s="67"/>
      <c r="S61" s="67"/>
      <c r="T61" s="4"/>
    </row>
    <row r="62" spans="18:20" ht="14.25" customHeight="1" x14ac:dyDescent="0.3">
      <c r="R62" s="67"/>
      <c r="S62" s="67"/>
    </row>
    <row r="63" spans="18:20" ht="14.25" customHeight="1" x14ac:dyDescent="0.3">
      <c r="R63" s="64"/>
      <c r="S63" s="64"/>
    </row>
    <row r="64" spans="18:20" ht="14.25" customHeight="1" x14ac:dyDescent="0.3"/>
    <row r="66" spans="2:3" ht="13.5" customHeight="1" x14ac:dyDescent="0.3">
      <c r="B66" s="6"/>
      <c r="C66" s="6"/>
    </row>
    <row r="67" spans="2:3" x14ac:dyDescent="0.3">
      <c r="B67" s="6"/>
      <c r="C67" s="6"/>
    </row>
  </sheetData>
  <phoneticPr fontId="7" type="noConversion"/>
  <pageMargins left="0.23622047244094491" right="0.19685039370078741" top="0.62992125984251968" bottom="0.39370078740157483" header="0.39370078740157483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kunnat</vt:lpstr>
      <vt:lpstr>kuntayhtymät</vt:lpstr>
      <vt:lpstr>kuntakonsernit</vt:lpstr>
      <vt:lpstr>kunnat!Tulostusalue</vt:lpstr>
      <vt:lpstr>kuntayhtymät!Tulostusalue</vt:lpstr>
      <vt:lpstr>Tulostusalue_MI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Pukki Heikki</cp:lastModifiedBy>
  <cp:lastPrinted>2017-06-19T12:06:36Z</cp:lastPrinted>
  <dcterms:created xsi:type="dcterms:W3CDTF">1999-12-08T10:25:06Z</dcterms:created>
  <dcterms:modified xsi:type="dcterms:W3CDTF">2017-06-27T11:49:49Z</dcterms:modified>
</cp:coreProperties>
</file>