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0_Tilastoexcelit ja kalvosetit/"/>
    </mc:Choice>
  </mc:AlternateContent>
  <xr:revisionPtr revIDLastSave="0" documentId="8_{051324C2-A092-4DF8-828C-17CCF1DD70E6}" xr6:coauthVersionLast="47" xr6:coauthVersionMax="47" xr10:uidLastSave="{00000000-0000-0000-0000-000000000000}"/>
  <bookViews>
    <workbookView xWindow="23880" yWindow="825" windowWidth="27195" windowHeight="18810" xr2:uid="{00000000-000D-0000-FFFF-FFFF00000000}"/>
  </bookViews>
  <sheets>
    <sheet name="Kunnat" sheetId="1" r:id="rId1"/>
    <sheet name="Kuntayhtymät" sheetId="2" r:id="rId2"/>
    <sheet name="Yhteensä" sheetId="3" r:id="rId3"/>
  </sheets>
  <definedNames>
    <definedName name="_xlnm.Print_Area" localSheetId="0">Kunnat!$A$2:$AS$72</definedName>
    <definedName name="_xlnm.Print_Area" localSheetId="1">Kuntayhtymät!$A$2:$AZ$71</definedName>
    <definedName name="_xlnm.Print_Area" localSheetId="2">Yhteensä!$A$2:$AZ$71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50" i="3" l="1"/>
  <c r="AY60" i="3"/>
  <c r="AY61" i="3"/>
  <c r="AY69" i="3"/>
  <c r="AY71" i="3"/>
  <c r="AZ71" i="3"/>
  <c r="AZ69" i="3"/>
  <c r="AZ61" i="3"/>
  <c r="AZ60" i="3"/>
  <c r="AZ50" i="3"/>
  <c r="AZ28" i="3"/>
  <c r="AZ26" i="3"/>
  <c r="AZ23" i="3"/>
  <c r="AZ21" i="3"/>
  <c r="AZ18" i="3"/>
  <c r="AZ17" i="3"/>
  <c r="AZ15" i="3"/>
  <c r="AZ13" i="3"/>
  <c r="AZ12" i="3"/>
  <c r="AZ10" i="3"/>
  <c r="AY10" i="3"/>
  <c r="AY12" i="3"/>
  <c r="AY13" i="3"/>
  <c r="AY15" i="3"/>
  <c r="AY17" i="3"/>
  <c r="AY18" i="3"/>
  <c r="AY21" i="3"/>
  <c r="AY23" i="3"/>
  <c r="AY26" i="3"/>
  <c r="AY28" i="3"/>
  <c r="Z71" i="3"/>
  <c r="Z57" i="3" l="1"/>
  <c r="Z58" i="3"/>
  <c r="Z60" i="3"/>
  <c r="Z61" i="3"/>
  <c r="Z62" i="3"/>
  <c r="Z63" i="3"/>
  <c r="Z64" i="3"/>
  <c r="Z69" i="3"/>
  <c r="Z51" i="3"/>
  <c r="Z52" i="3"/>
  <c r="Z50" i="3"/>
  <c r="Z48" i="3"/>
  <c r="Z47" i="3"/>
  <c r="Z36" i="3"/>
  <c r="Z13" i="3"/>
  <c r="Z15" i="3" s="1"/>
  <c r="Z26" i="3" s="1"/>
  <c r="AZ61" i="2"/>
  <c r="AZ60" i="2"/>
  <c r="AZ50" i="2"/>
  <c r="AZ28" i="2"/>
  <c r="AZ26" i="2"/>
  <c r="AZ23" i="2"/>
  <c r="AZ21" i="2"/>
  <c r="AZ15" i="2"/>
  <c r="AZ13" i="2"/>
  <c r="AZ12" i="2"/>
  <c r="AZ10" i="2"/>
  <c r="AY69" i="2"/>
  <c r="AY71" i="2"/>
  <c r="AY60" i="2"/>
  <c r="AY61" i="2"/>
  <c r="AY50" i="2"/>
  <c r="AY21" i="2"/>
  <c r="AY23" i="2"/>
  <c r="AY26" i="2"/>
  <c r="AY28" i="2"/>
  <c r="AY10" i="2"/>
  <c r="AY12" i="2"/>
  <c r="AY13" i="2"/>
  <c r="AY15" i="2"/>
  <c r="Z65" i="2"/>
  <c r="Z47" i="2"/>
  <c r="Z13" i="2"/>
  <c r="Z15" i="2" s="1"/>
  <c r="Z26" i="2" s="1"/>
  <c r="Z13" i="1"/>
  <c r="Z32" i="3" l="1"/>
  <c r="Z46" i="3"/>
  <c r="Z53" i="3" s="1"/>
  <c r="Z34" i="3"/>
  <c r="Z65" i="3"/>
  <c r="Z32" i="2"/>
  <c r="Z34" i="2" s="1"/>
  <c r="Z46" i="2"/>
  <c r="Z53" i="2" s="1"/>
  <c r="Z67" i="2" s="1"/>
  <c r="Z67" i="3" l="1"/>
  <c r="AX71" i="1" l="1"/>
  <c r="AX69" i="1"/>
  <c r="AX61" i="1"/>
  <c r="AX60" i="1"/>
  <c r="AX50" i="1"/>
  <c r="AW50" i="1"/>
  <c r="AX12" i="1"/>
  <c r="AX17" i="1"/>
  <c r="AX18" i="1"/>
  <c r="AX21" i="1"/>
  <c r="AX22" i="1"/>
  <c r="AX23" i="1"/>
  <c r="AX24" i="1"/>
  <c r="AX28" i="1"/>
  <c r="AX10" i="1"/>
  <c r="AW10" i="1"/>
  <c r="AW12" i="1"/>
  <c r="AW17" i="1"/>
  <c r="AW18" i="1"/>
  <c r="AW21" i="1"/>
  <c r="AW23" i="1"/>
  <c r="AW28" i="1"/>
  <c r="Z47" i="1"/>
  <c r="Z15" i="1"/>
  <c r="Z26" i="1" s="1"/>
  <c r="AX26" i="1" s="1"/>
  <c r="AX13" i="1" l="1"/>
  <c r="AW13" i="1"/>
  <c r="AW26" i="1"/>
  <c r="AX15" i="1"/>
  <c r="AW15" i="1"/>
  <c r="Z46" i="1"/>
  <c r="Z32" i="1"/>
  <c r="Z34" i="1" s="1"/>
  <c r="Y71" i="3"/>
  <c r="AX10" i="3" l="1"/>
  <c r="AX12" i="3"/>
  <c r="AX17" i="3"/>
  <c r="AX18" i="3"/>
  <c r="AX21" i="3"/>
  <c r="AX23" i="3"/>
  <c r="AX28" i="3"/>
  <c r="Y69" i="3" l="1"/>
  <c r="Y64" i="3"/>
  <c r="Y63" i="3"/>
  <c r="Y62" i="3"/>
  <c r="Y61" i="3"/>
  <c r="Y60" i="3"/>
  <c r="Y58" i="3"/>
  <c r="Y57" i="3"/>
  <c r="Y52" i="3"/>
  <c r="Y51" i="3"/>
  <c r="Y50" i="3"/>
  <c r="Y48" i="3"/>
  <c r="Y47" i="3"/>
  <c r="Y36" i="3"/>
  <c r="Y13" i="3"/>
  <c r="AZ71" i="2"/>
  <c r="AZ69" i="2"/>
  <c r="Y13" i="2"/>
  <c r="AX60" i="2"/>
  <c r="AX61" i="2"/>
  <c r="AX69" i="2"/>
  <c r="AX71" i="2"/>
  <c r="AX50" i="2"/>
  <c r="AX10" i="2"/>
  <c r="AX12" i="2"/>
  <c r="AX21" i="2"/>
  <c r="AX23" i="2"/>
  <c r="AX28" i="2"/>
  <c r="Y65" i="2"/>
  <c r="Y47" i="2"/>
  <c r="AV50" i="1"/>
  <c r="AV10" i="1"/>
  <c r="AV12" i="1"/>
  <c r="AV17" i="1"/>
  <c r="AV18" i="1"/>
  <c r="AV21" i="1"/>
  <c r="AV23" i="1"/>
  <c r="AV28" i="1"/>
  <c r="Y47" i="1"/>
  <c r="Y13" i="1"/>
  <c r="Y15" i="1" s="1"/>
  <c r="Y26" i="1" s="1"/>
  <c r="Y32" i="1" s="1"/>
  <c r="Y34" i="1" s="1"/>
  <c r="X13" i="3"/>
  <c r="X15" i="3"/>
  <c r="X26" i="3" s="1"/>
  <c r="X32" i="3" s="1"/>
  <c r="X36" i="3"/>
  <c r="X34" i="3" l="1"/>
  <c r="AX13" i="3"/>
  <c r="Y65" i="3"/>
  <c r="Y15" i="3"/>
  <c r="AX15" i="3" s="1"/>
  <c r="Y15" i="2"/>
  <c r="Y46" i="1"/>
  <c r="W12" i="3"/>
  <c r="AW12" i="3" s="1"/>
  <c r="W71" i="3"/>
  <c r="X71" i="3"/>
  <c r="AX71" i="3" s="1"/>
  <c r="W69" i="3"/>
  <c r="X69" i="3"/>
  <c r="AX69" i="3" s="1"/>
  <c r="W57" i="3"/>
  <c r="X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W58" i="3"/>
  <c r="X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W60" i="3"/>
  <c r="X60" i="3"/>
  <c r="AX60" i="3" s="1"/>
  <c r="AA60" i="3"/>
  <c r="W61" i="3"/>
  <c r="X61" i="3"/>
  <c r="AX61" i="3" s="1"/>
  <c r="AA61" i="3"/>
  <c r="W62" i="3"/>
  <c r="X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W63" i="3"/>
  <c r="X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W64" i="3"/>
  <c r="X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W50" i="3"/>
  <c r="X50" i="3"/>
  <c r="AX50" i="3" s="1"/>
  <c r="W51" i="3"/>
  <c r="X51" i="3"/>
  <c r="W52" i="3"/>
  <c r="X52" i="3"/>
  <c r="W48" i="3"/>
  <c r="X48" i="3"/>
  <c r="W36" i="3"/>
  <c r="W28" i="3"/>
  <c r="W29" i="3"/>
  <c r="X47" i="3"/>
  <c r="W30" i="3"/>
  <c r="W21" i="3"/>
  <c r="W22" i="3"/>
  <c r="W23" i="3"/>
  <c r="W24" i="3"/>
  <c r="W18" i="3"/>
  <c r="AW18" i="3" s="1"/>
  <c r="W17" i="3"/>
  <c r="W11" i="3"/>
  <c r="W10" i="3"/>
  <c r="AW10" i="3" s="1"/>
  <c r="AZ19" i="3"/>
  <c r="AV10" i="2"/>
  <c r="AW10" i="2"/>
  <c r="AV21" i="2"/>
  <c r="AW21" i="2"/>
  <c r="AV23" i="2"/>
  <c r="AW23" i="2"/>
  <c r="AV28" i="2"/>
  <c r="AW28" i="2"/>
  <c r="AV50" i="2"/>
  <c r="AW50" i="2"/>
  <c r="AV69" i="2"/>
  <c r="AW69" i="2"/>
  <c r="AV71" i="2"/>
  <c r="AW71" i="2"/>
  <c r="AV60" i="2"/>
  <c r="AW60" i="2"/>
  <c r="AV61" i="2"/>
  <c r="AW61" i="2"/>
  <c r="O65" i="2"/>
  <c r="P65" i="2"/>
  <c r="Q65" i="2"/>
  <c r="R65" i="2"/>
  <c r="S65" i="2"/>
  <c r="T65" i="2"/>
  <c r="U65" i="2"/>
  <c r="W65" i="2"/>
  <c r="X65" i="2"/>
  <c r="AA53" i="2"/>
  <c r="O47" i="2"/>
  <c r="P47" i="2"/>
  <c r="Q47" i="2"/>
  <c r="R47" i="2"/>
  <c r="S47" i="2"/>
  <c r="T47" i="2"/>
  <c r="U47" i="2"/>
  <c r="W47" i="2"/>
  <c r="X47" i="2"/>
  <c r="O26" i="2"/>
  <c r="O46" i="2" s="1"/>
  <c r="P26" i="2"/>
  <c r="P32" i="2" s="1"/>
  <c r="P34" i="2" s="1"/>
  <c r="Q26" i="2"/>
  <c r="Q32" i="2" s="1"/>
  <c r="Q34" i="2" s="1"/>
  <c r="O53" i="2" l="1"/>
  <c r="Y26" i="3"/>
  <c r="AX26" i="3" s="1"/>
  <c r="Y26" i="2"/>
  <c r="W47" i="3"/>
  <c r="AW60" i="3"/>
  <c r="O32" i="2"/>
  <c r="W65" i="3"/>
  <c r="AW61" i="3"/>
  <c r="AA65" i="3"/>
  <c r="AW71" i="3"/>
  <c r="O67" i="2"/>
  <c r="AW21" i="3"/>
  <c r="Q46" i="2"/>
  <c r="Q53" i="2" s="1"/>
  <c r="Q67" i="2" s="1"/>
  <c r="P46" i="2"/>
  <c r="P53" i="2" s="1"/>
  <c r="P67" i="2" s="1"/>
  <c r="AW17" i="3"/>
  <c r="AW69" i="3"/>
  <c r="W13" i="3"/>
  <c r="X65" i="3"/>
  <c r="AW23" i="3"/>
  <c r="AW50" i="3"/>
  <c r="AW28" i="3"/>
  <c r="Y46" i="3" l="1"/>
  <c r="Y53" i="3" s="1"/>
  <c r="Y67" i="3" s="1"/>
  <c r="Y32" i="3"/>
  <c r="Y34" i="3" s="1"/>
  <c r="Y46" i="2"/>
  <c r="Y53" i="2" s="1"/>
  <c r="Y67" i="2" s="1"/>
  <c r="Y32" i="2"/>
  <c r="Y34" i="2" s="1"/>
  <c r="W15" i="3"/>
  <c r="AW15" i="3" s="1"/>
  <c r="AW13" i="3"/>
  <c r="W13" i="2"/>
  <c r="X13" i="2"/>
  <c r="AA13" i="2"/>
  <c r="AW13" i="2" l="1"/>
  <c r="AX13" i="2"/>
  <c r="X15" i="2"/>
  <c r="AX15" i="2" s="1"/>
  <c r="W15" i="2"/>
  <c r="X46" i="3"/>
  <c r="X53" i="3" s="1"/>
  <c r="X67" i="3" s="1"/>
  <c r="W26" i="3"/>
  <c r="AW26" i="3" s="1"/>
  <c r="AV12" i="2"/>
  <c r="AW12" i="2"/>
  <c r="W46" i="3" l="1"/>
  <c r="W53" i="3" s="1"/>
  <c r="W67" i="3" s="1"/>
  <c r="W32" i="3"/>
  <c r="W34" i="3" s="1"/>
  <c r="W26" i="2"/>
  <c r="AW15" i="2"/>
  <c r="X26" i="2"/>
  <c r="AX26" i="2" s="1"/>
  <c r="AT50" i="1"/>
  <c r="AU50" i="1"/>
  <c r="AA73" i="1"/>
  <c r="AA67" i="1"/>
  <c r="AB67" i="1"/>
  <c r="AC67" i="1"/>
  <c r="AD67" i="1"/>
  <c r="AE67" i="1"/>
  <c r="AF67" i="1"/>
  <c r="AG67" i="1"/>
  <c r="AH67" i="1"/>
  <c r="AI67" i="1"/>
  <c r="AJ67" i="1"/>
  <c r="AK67" i="1"/>
  <c r="O47" i="1"/>
  <c r="P47" i="1"/>
  <c r="Q47" i="1"/>
  <c r="R47" i="1"/>
  <c r="S47" i="1"/>
  <c r="T47" i="1"/>
  <c r="U47" i="1"/>
  <c r="V47" i="1"/>
  <c r="O46" i="1"/>
  <c r="P46" i="1"/>
  <c r="Q46" i="1"/>
  <c r="X47" i="1"/>
  <c r="W47" i="1"/>
  <c r="P34" i="1"/>
  <c r="Q34" i="1"/>
  <c r="AT21" i="1"/>
  <c r="AU21" i="1"/>
  <c r="AT23" i="1"/>
  <c r="AU23" i="1"/>
  <c r="AT28" i="1"/>
  <c r="AU28" i="1"/>
  <c r="AT10" i="1"/>
  <c r="AU10" i="1"/>
  <c r="AT12" i="1"/>
  <c r="AU12" i="1"/>
  <c r="AT18" i="1"/>
  <c r="AU18" i="1"/>
  <c r="AT17" i="1"/>
  <c r="AU17" i="1"/>
  <c r="W13" i="1"/>
  <c r="X13" i="1"/>
  <c r="AA13" i="1"/>
  <c r="O13" i="1"/>
  <c r="P13" i="1"/>
  <c r="Q13" i="1"/>
  <c r="R13" i="1"/>
  <c r="S13" i="1"/>
  <c r="T13" i="1"/>
  <c r="U13" i="1"/>
  <c r="X15" i="1" l="1"/>
  <c r="AV15" i="1" s="1"/>
  <c r="AV13" i="1"/>
  <c r="X26" i="1"/>
  <c r="AV26" i="1" s="1"/>
  <c r="X46" i="2"/>
  <c r="X53" i="2" s="1"/>
  <c r="X67" i="2" s="1"/>
  <c r="X32" i="2"/>
  <c r="X34" i="2" s="1"/>
  <c r="AW26" i="2"/>
  <c r="W46" i="2"/>
  <c r="W53" i="2" s="1"/>
  <c r="W67" i="2" s="1"/>
  <c r="W32" i="2"/>
  <c r="W34" i="2" s="1"/>
  <c r="W15" i="1"/>
  <c r="AU15" i="1" s="1"/>
  <c r="AU13" i="1"/>
  <c r="X32" i="1" l="1"/>
  <c r="X34" i="1" s="1"/>
  <c r="X46" i="1"/>
  <c r="W26" i="1"/>
  <c r="W32" i="1" l="1"/>
  <c r="W34" i="1" s="1"/>
  <c r="W46" i="1"/>
  <c r="AU26" i="1"/>
  <c r="V12" i="3" l="1"/>
  <c r="AV12" i="3" s="1"/>
  <c r="V10" i="3"/>
  <c r="AV10" i="3" s="1"/>
  <c r="V71" i="3" l="1"/>
  <c r="AV71" i="3" s="1"/>
  <c r="V69" i="3"/>
  <c r="AV69" i="3" s="1"/>
  <c r="V63" i="3"/>
  <c r="V57" i="3"/>
  <c r="V58" i="3"/>
  <c r="V60" i="3"/>
  <c r="AV60" i="3" s="1"/>
  <c r="V61" i="3"/>
  <c r="AV61" i="3" s="1"/>
  <c r="V62" i="3"/>
  <c r="V64" i="3"/>
  <c r="V52" i="3"/>
  <c r="V50" i="3"/>
  <c r="AV50" i="3" s="1"/>
  <c r="V51" i="3"/>
  <c r="V48" i="3"/>
  <c r="V28" i="3"/>
  <c r="AV28" i="3" s="1"/>
  <c r="V29" i="3"/>
  <c r="V30" i="3"/>
  <c r="V17" i="3"/>
  <c r="AV17" i="3" s="1"/>
  <c r="AA17" i="3"/>
  <c r="V18" i="3"/>
  <c r="AV18" i="3" s="1"/>
  <c r="AA18" i="3"/>
  <c r="V21" i="3"/>
  <c r="AV21" i="3" s="1"/>
  <c r="AA21" i="3"/>
  <c r="V22" i="3"/>
  <c r="AA22" i="3"/>
  <c r="AB22" i="3"/>
  <c r="AC22" i="3"/>
  <c r="AD22" i="3"/>
  <c r="AE22" i="3"/>
  <c r="AF22" i="3"/>
  <c r="AG22" i="3"/>
  <c r="AH22" i="3"/>
  <c r="AI22" i="3"/>
  <c r="AJ22" i="3"/>
  <c r="AK22" i="3"/>
  <c r="V23" i="3"/>
  <c r="AV23" i="3" s="1"/>
  <c r="AA23" i="3"/>
  <c r="V24" i="3"/>
  <c r="AA24" i="3"/>
  <c r="AB24" i="3"/>
  <c r="AC24" i="3"/>
  <c r="AD24" i="3"/>
  <c r="AE24" i="3"/>
  <c r="AF24" i="3"/>
  <c r="AG24" i="3"/>
  <c r="AH24" i="3"/>
  <c r="AI24" i="3"/>
  <c r="AJ24" i="3"/>
  <c r="AK24" i="3"/>
  <c r="AA15" i="3"/>
  <c r="V11" i="3"/>
  <c r="V65" i="2"/>
  <c r="V47" i="2"/>
  <c r="AU10" i="2"/>
  <c r="V13" i="2"/>
  <c r="AV13" i="2" s="1"/>
  <c r="AU69" i="2"/>
  <c r="AU71" i="2"/>
  <c r="AU60" i="2"/>
  <c r="AU61" i="2"/>
  <c r="AU50" i="2"/>
  <c r="AU21" i="2"/>
  <c r="AU23" i="2"/>
  <c r="AU28" i="2"/>
  <c r="AU12" i="2"/>
  <c r="V15" i="2" l="1"/>
  <c r="V47" i="3"/>
  <c r="V65" i="3"/>
  <c r="V13" i="3"/>
  <c r="AS69" i="1"/>
  <c r="AS71" i="1"/>
  <c r="AS60" i="1"/>
  <c r="AS61" i="1"/>
  <c r="AS50" i="1"/>
  <c r="AS12" i="1"/>
  <c r="AS10" i="1"/>
  <c r="AS17" i="1"/>
  <c r="AS18" i="1"/>
  <c r="AS21" i="1"/>
  <c r="AS23" i="1"/>
  <c r="AS28" i="1"/>
  <c r="V15" i="3" l="1"/>
  <c r="AV15" i="3" s="1"/>
  <c r="AV13" i="3"/>
  <c r="V26" i="2"/>
  <c r="AV15" i="2"/>
  <c r="V32" i="2"/>
  <c r="V34" i="2" s="1"/>
  <c r="V26" i="3"/>
  <c r="AV26" i="3" s="1"/>
  <c r="V13" i="1"/>
  <c r="AT13" i="1" s="1"/>
  <c r="V46" i="2" l="1"/>
  <c r="V53" i="2" s="1"/>
  <c r="V67" i="2" s="1"/>
  <c r="AV26" i="2"/>
  <c r="V46" i="3"/>
  <c r="V53" i="3" s="1"/>
  <c r="V67" i="3" s="1"/>
  <c r="V32" i="3"/>
  <c r="V15" i="1"/>
  <c r="AT15" i="1" s="1"/>
  <c r="AR10" i="1"/>
  <c r="V26" i="1" l="1"/>
  <c r="U63" i="3"/>
  <c r="U52" i="3"/>
  <c r="U12" i="3"/>
  <c r="AU12" i="3" s="1"/>
  <c r="U10" i="3"/>
  <c r="AU10" i="3" s="1"/>
  <c r="U71" i="3"/>
  <c r="AU71" i="3" s="1"/>
  <c r="U69" i="3"/>
  <c r="AU69" i="3" s="1"/>
  <c r="U64" i="3"/>
  <c r="U62" i="3"/>
  <c r="U61" i="3"/>
  <c r="AU61" i="3" s="1"/>
  <c r="U60" i="3"/>
  <c r="AU60" i="3" s="1"/>
  <c r="U58" i="3"/>
  <c r="U57" i="3"/>
  <c r="U51" i="3"/>
  <c r="U50" i="3"/>
  <c r="AU50" i="3" s="1"/>
  <c r="U48" i="3"/>
  <c r="U30" i="3"/>
  <c r="U29" i="3"/>
  <c r="U28" i="3"/>
  <c r="AU28" i="3" s="1"/>
  <c r="U24" i="3"/>
  <c r="U23" i="3"/>
  <c r="AU23" i="3" s="1"/>
  <c r="U22" i="3"/>
  <c r="U21" i="3"/>
  <c r="AU21" i="3" s="1"/>
  <c r="U18" i="3"/>
  <c r="AU18" i="3" s="1"/>
  <c r="U17" i="3"/>
  <c r="AU17" i="3" s="1"/>
  <c r="U11" i="3"/>
  <c r="AT71" i="2"/>
  <c r="AT69" i="2"/>
  <c r="AT61" i="2"/>
  <c r="AT60" i="2"/>
  <c r="AT50" i="2"/>
  <c r="AT28" i="2"/>
  <c r="AT23" i="2"/>
  <c r="AT21" i="2"/>
  <c r="AT12" i="2"/>
  <c r="AT10" i="2"/>
  <c r="U13" i="2"/>
  <c r="V46" i="1" l="1"/>
  <c r="AT26" i="1"/>
  <c r="V32" i="1"/>
  <c r="U15" i="2"/>
  <c r="U26" i="2" s="1"/>
  <c r="AU13" i="2"/>
  <c r="U13" i="3"/>
  <c r="U47" i="3"/>
  <c r="U65" i="3"/>
  <c r="U46" i="2" l="1"/>
  <c r="U53" i="2" s="1"/>
  <c r="U67" i="2" s="1"/>
  <c r="U32" i="2"/>
  <c r="U34" i="2" s="1"/>
  <c r="V36" i="3"/>
  <c r="V34" i="3" s="1"/>
  <c r="V34" i="1"/>
  <c r="U15" i="3"/>
  <c r="AU15" i="3" s="1"/>
  <c r="AU13" i="3"/>
  <c r="AU15" i="2"/>
  <c r="U26" i="3" l="1"/>
  <c r="U46" i="3" s="1"/>
  <c r="U53" i="3" s="1"/>
  <c r="U67" i="3" s="1"/>
  <c r="AU26" i="2"/>
  <c r="U32" i="3" l="1"/>
  <c r="AU26" i="3"/>
  <c r="AR71" i="1"/>
  <c r="AR69" i="1"/>
  <c r="AR61" i="1"/>
  <c r="AR60" i="1"/>
  <c r="AR50" i="1"/>
  <c r="AR28" i="1"/>
  <c r="AR23" i="1"/>
  <c r="AR21" i="1"/>
  <c r="AR18" i="1"/>
  <c r="AR17" i="1"/>
  <c r="AR12" i="1"/>
  <c r="U15" i="1" l="1"/>
  <c r="AS13" i="1"/>
  <c r="T12" i="3"/>
  <c r="AT12" i="3" s="1"/>
  <c r="T10" i="3"/>
  <c r="AT10" i="3" s="1"/>
  <c r="U26" i="1" l="1"/>
  <c r="U46" i="1" s="1"/>
  <c r="AS15" i="1"/>
  <c r="AS26" i="1" l="1"/>
  <c r="U32" i="1"/>
  <c r="T71" i="3"/>
  <c r="AT71" i="3" s="1"/>
  <c r="T63" i="3"/>
  <c r="T52" i="3"/>
  <c r="U36" i="3" l="1"/>
  <c r="U34" i="3" s="1"/>
  <c r="U34" i="1"/>
  <c r="T69" i="3"/>
  <c r="AT69" i="3" s="1"/>
  <c r="T64" i="3"/>
  <c r="T62" i="3"/>
  <c r="T61" i="3"/>
  <c r="AT61" i="3" s="1"/>
  <c r="T60" i="3"/>
  <c r="AT60" i="3" s="1"/>
  <c r="T58" i="3"/>
  <c r="T57" i="3"/>
  <c r="T51" i="3"/>
  <c r="T50" i="3"/>
  <c r="AT50" i="3" s="1"/>
  <c r="T48" i="3"/>
  <c r="T30" i="3"/>
  <c r="T29" i="3"/>
  <c r="T28" i="3"/>
  <c r="AT28" i="3" s="1"/>
  <c r="T24" i="3"/>
  <c r="T23" i="3"/>
  <c r="AT23" i="3" s="1"/>
  <c r="T22" i="3"/>
  <c r="T21" i="3"/>
  <c r="AT21" i="3" s="1"/>
  <c r="T18" i="3"/>
  <c r="AT18" i="3" s="1"/>
  <c r="T17" i="3"/>
  <c r="AT17" i="3" s="1"/>
  <c r="T11" i="3"/>
  <c r="AS71" i="2"/>
  <c r="AS69" i="2"/>
  <c r="AS61" i="2"/>
  <c r="AS60" i="2"/>
  <c r="AS50" i="2"/>
  <c r="AS28" i="2"/>
  <c r="AS23" i="2"/>
  <c r="AS21" i="2"/>
  <c r="AS12" i="2"/>
  <c r="AS10" i="2"/>
  <c r="T13" i="2"/>
  <c r="T15" i="2" l="1"/>
  <c r="T26" i="2" s="1"/>
  <c r="AT13" i="2"/>
  <c r="T47" i="3"/>
  <c r="T65" i="3"/>
  <c r="T13" i="3"/>
  <c r="T46" i="2" l="1"/>
  <c r="T53" i="2" s="1"/>
  <c r="T67" i="2" s="1"/>
  <c r="T32" i="2"/>
  <c r="T34" i="2" s="1"/>
  <c r="AT15" i="2"/>
  <c r="T15" i="3"/>
  <c r="AT15" i="3" s="1"/>
  <c r="AT13" i="3"/>
  <c r="AT26" i="2" l="1"/>
  <c r="T26" i="3"/>
  <c r="AT26" i="3" s="1"/>
  <c r="T32" i="3" l="1"/>
  <c r="T46" i="3"/>
  <c r="T53" i="3" s="1"/>
  <c r="T67" i="3" s="1"/>
  <c r="AQ71" i="1"/>
  <c r="AQ69" i="1"/>
  <c r="AQ61" i="1"/>
  <c r="AQ60" i="1"/>
  <c r="AQ50" i="1"/>
  <c r="AQ28" i="1"/>
  <c r="AQ23" i="1"/>
  <c r="AQ21" i="1"/>
  <c r="AQ18" i="1"/>
  <c r="AQ17" i="1"/>
  <c r="AQ12" i="1"/>
  <c r="AQ10" i="1"/>
  <c r="T15" i="1" l="1"/>
  <c r="AR13" i="1"/>
  <c r="AQ71" i="3"/>
  <c r="AP71" i="3"/>
  <c r="AO71" i="3"/>
  <c r="AN71" i="3"/>
  <c r="AM71" i="3"/>
  <c r="AL71" i="3"/>
  <c r="AK71" i="3"/>
  <c r="AJ71" i="3"/>
  <c r="AB71" i="3"/>
  <c r="AQ69" i="3"/>
  <c r="AP69" i="3"/>
  <c r="AO69" i="3"/>
  <c r="AN69" i="3"/>
  <c r="AM69" i="3"/>
  <c r="AL69" i="3"/>
  <c r="AK69" i="3"/>
  <c r="AJ69" i="3"/>
  <c r="AB69" i="3"/>
  <c r="AQ61" i="3"/>
  <c r="AP61" i="3"/>
  <c r="AO61" i="3"/>
  <c r="AN61" i="3"/>
  <c r="AQ60" i="3"/>
  <c r="AP60" i="3"/>
  <c r="AO60" i="3"/>
  <c r="AN60" i="3"/>
  <c r="AQ50" i="3"/>
  <c r="AP50" i="3"/>
  <c r="AO50" i="3"/>
  <c r="AN50" i="3"/>
  <c r="AM50" i="3"/>
  <c r="AL50" i="3"/>
  <c r="AK50" i="3"/>
  <c r="AJ50" i="3"/>
  <c r="AB50" i="3"/>
  <c r="AQ28" i="3"/>
  <c r="AP28" i="3"/>
  <c r="AO28" i="3"/>
  <c r="AN28" i="3"/>
  <c r="AM28" i="3"/>
  <c r="AL28" i="3"/>
  <c r="AK28" i="3"/>
  <c r="AJ28" i="3"/>
  <c r="AB28" i="3"/>
  <c r="AQ26" i="3"/>
  <c r="AP26" i="3"/>
  <c r="AO26" i="3"/>
  <c r="AN26" i="3"/>
  <c r="AM26" i="3"/>
  <c r="AL26" i="3"/>
  <c r="AK26" i="3"/>
  <c r="AJ26" i="3"/>
  <c r="AB26" i="3"/>
  <c r="AQ23" i="3"/>
  <c r="AP23" i="3"/>
  <c r="AO23" i="3"/>
  <c r="AN23" i="3"/>
  <c r="AM23" i="3"/>
  <c r="AL23" i="3"/>
  <c r="AQ21" i="3"/>
  <c r="AP21" i="3"/>
  <c r="AO21" i="3"/>
  <c r="AN21" i="3"/>
  <c r="AM21" i="3"/>
  <c r="AL21" i="3"/>
  <c r="AQ18" i="3"/>
  <c r="AP18" i="3"/>
  <c r="AO18" i="3"/>
  <c r="AN18" i="3"/>
  <c r="AM18" i="3"/>
  <c r="AL18" i="3"/>
  <c r="AQ17" i="3"/>
  <c r="AP17" i="3"/>
  <c r="AO17" i="3"/>
  <c r="AN17" i="3"/>
  <c r="AM17" i="3"/>
  <c r="AL17" i="3"/>
  <c r="AP15" i="3"/>
  <c r="AO15" i="3"/>
  <c r="AN15" i="3"/>
  <c r="AM15" i="3"/>
  <c r="AL15" i="3"/>
  <c r="AK15" i="3"/>
  <c r="AJ15" i="3"/>
  <c r="AQ13" i="3"/>
  <c r="AP13" i="3"/>
  <c r="AO13" i="3"/>
  <c r="AN13" i="3"/>
  <c r="AM13" i="3"/>
  <c r="AL13" i="3"/>
  <c r="AK13" i="3"/>
  <c r="AJ13" i="3"/>
  <c r="AB13" i="3"/>
  <c r="AQ12" i="3"/>
  <c r="AP12" i="3"/>
  <c r="AO12" i="3"/>
  <c r="AN12" i="3"/>
  <c r="AM12" i="3"/>
  <c r="AL12" i="3"/>
  <c r="AK12" i="3"/>
  <c r="AJ12" i="3"/>
  <c r="AB12" i="3"/>
  <c r="AP10" i="3"/>
  <c r="AO10" i="3"/>
  <c r="AN10" i="3"/>
  <c r="AM10" i="3"/>
  <c r="AL10" i="3"/>
  <c r="AK10" i="3"/>
  <c r="AJ10" i="3"/>
  <c r="AB10" i="3"/>
  <c r="C65" i="3"/>
  <c r="B65" i="3"/>
  <c r="C47" i="3"/>
  <c r="B47" i="3"/>
  <c r="C46" i="3"/>
  <c r="B46" i="3"/>
  <c r="S36" i="3"/>
  <c r="R36" i="3"/>
  <c r="R34" i="3" s="1"/>
  <c r="Q36" i="3"/>
  <c r="Q34" i="3" s="1"/>
  <c r="P36" i="3"/>
  <c r="P34" i="3" s="1"/>
  <c r="O36" i="3"/>
  <c r="O34" i="3" s="1"/>
  <c r="N36" i="3"/>
  <c r="N34" i="3" s="1"/>
  <c r="M36" i="3"/>
  <c r="M34" i="3" s="1"/>
  <c r="L36" i="3"/>
  <c r="L34" i="3" s="1"/>
  <c r="K36" i="3"/>
  <c r="K34" i="3" s="1"/>
  <c r="J36" i="3"/>
  <c r="J34" i="3" s="1"/>
  <c r="I36" i="3"/>
  <c r="H36" i="3"/>
  <c r="G36" i="3"/>
  <c r="F36" i="3"/>
  <c r="E36" i="3"/>
  <c r="D36" i="3"/>
  <c r="C36" i="3"/>
  <c r="B36" i="3"/>
  <c r="B32" i="3"/>
  <c r="C32" i="3"/>
  <c r="C15" i="3"/>
  <c r="AB15" i="3" s="1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R50" i="2"/>
  <c r="AQ50" i="2"/>
  <c r="AP50" i="2"/>
  <c r="AO50" i="2"/>
  <c r="AN50" i="2"/>
  <c r="AM50" i="2"/>
  <c r="AL50" i="2"/>
  <c r="AK50" i="2"/>
  <c r="AK53" i="2" s="1"/>
  <c r="AJ50" i="2"/>
  <c r="AJ53" i="2" s="1"/>
  <c r="AI50" i="2"/>
  <c r="AI53" i="2" s="1"/>
  <c r="AB50" i="2"/>
  <c r="AB53" i="2" s="1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6" i="2"/>
  <c r="AO26" i="2"/>
  <c r="AN26" i="2"/>
  <c r="AM26" i="2"/>
  <c r="AL26" i="2"/>
  <c r="AK26" i="2"/>
  <c r="AJ26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15" i="2"/>
  <c r="AO15" i="2"/>
  <c r="AN15" i="2"/>
  <c r="AM15" i="2"/>
  <c r="AL15" i="2"/>
  <c r="AK15" i="2"/>
  <c r="AJ15" i="2"/>
  <c r="AP13" i="2"/>
  <c r="AO13" i="2"/>
  <c r="AN13" i="2"/>
  <c r="AM13" i="2"/>
  <c r="AL13" i="2"/>
  <c r="AR12" i="2"/>
  <c r="AQ12" i="2"/>
  <c r="AP12" i="2"/>
  <c r="AO12" i="2"/>
  <c r="AN12" i="2"/>
  <c r="AM12" i="2"/>
  <c r="AL12" i="2"/>
  <c r="AK12" i="2"/>
  <c r="AK13" i="2" s="1"/>
  <c r="AJ12" i="2"/>
  <c r="AJ13" i="2" s="1"/>
  <c r="AI12" i="2"/>
  <c r="AI13" i="2" s="1"/>
  <c r="AB12" i="2"/>
  <c r="AB13" i="2" s="1"/>
  <c r="AP10" i="2"/>
  <c r="AO10" i="2"/>
  <c r="AN10" i="2"/>
  <c r="AM10" i="2"/>
  <c r="AL10" i="2"/>
  <c r="AK10" i="2"/>
  <c r="AJ10" i="2"/>
  <c r="AI10" i="2"/>
  <c r="AB10" i="2"/>
  <c r="C65" i="2"/>
  <c r="B65" i="2"/>
  <c r="C53" i="2"/>
  <c r="B53" i="2"/>
  <c r="O34" i="2"/>
  <c r="N34" i="2"/>
  <c r="M34" i="2"/>
  <c r="L34" i="2"/>
  <c r="K34" i="2"/>
  <c r="J34" i="2"/>
  <c r="C15" i="2"/>
  <c r="C26" i="2" s="1"/>
  <c r="C32" i="2" s="1"/>
  <c r="C34" i="2" s="1"/>
  <c r="B15" i="2"/>
  <c r="B26" i="2" s="1"/>
  <c r="B32" i="2" s="1"/>
  <c r="B34" i="2" s="1"/>
  <c r="C13" i="2"/>
  <c r="B13" i="2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P61" i="1"/>
  <c r="AO61" i="1"/>
  <c r="AN61" i="1"/>
  <c r="AM61" i="1"/>
  <c r="AL61" i="1"/>
  <c r="AL61" i="3" s="1"/>
  <c r="AK61" i="1"/>
  <c r="AJ61" i="1"/>
  <c r="AJ61" i="3" s="1"/>
  <c r="AI61" i="1"/>
  <c r="AI61" i="3" s="1"/>
  <c r="AH61" i="1"/>
  <c r="AH61" i="3" s="1"/>
  <c r="AG61" i="1"/>
  <c r="AG61" i="3" s="1"/>
  <c r="AF61" i="1"/>
  <c r="AF61" i="3" s="1"/>
  <c r="AE61" i="1"/>
  <c r="AD61" i="1"/>
  <c r="AD61" i="3" s="1"/>
  <c r="AC61" i="1"/>
  <c r="AB61" i="1"/>
  <c r="AB61" i="3" s="1"/>
  <c r="AP60" i="1"/>
  <c r="AO60" i="1"/>
  <c r="AN60" i="1"/>
  <c r="AM60" i="1"/>
  <c r="AM60" i="3" s="1"/>
  <c r="AL60" i="1"/>
  <c r="AL60" i="3" s="1"/>
  <c r="AK60" i="1"/>
  <c r="AK60" i="3" s="1"/>
  <c r="AJ60" i="1"/>
  <c r="AI60" i="1"/>
  <c r="AI60" i="3" s="1"/>
  <c r="AH60" i="1"/>
  <c r="AH60" i="3" s="1"/>
  <c r="AG60" i="1"/>
  <c r="AG60" i="3" s="1"/>
  <c r="AF60" i="1"/>
  <c r="AE60" i="1"/>
  <c r="AD60" i="1"/>
  <c r="AC60" i="1"/>
  <c r="AB6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N26" i="1"/>
  <c r="AM26" i="1"/>
  <c r="AL26" i="1"/>
  <c r="AK26" i="1"/>
  <c r="AJ26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D23" i="3" s="1"/>
  <c r="AC23" i="1"/>
  <c r="AC23" i="3" s="1"/>
  <c r="AB23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D21" i="3" s="1"/>
  <c r="AC21" i="1"/>
  <c r="AB21" i="1"/>
  <c r="AB21" i="3" s="1"/>
  <c r="AP18" i="1"/>
  <c r="AO18" i="1"/>
  <c r="AN18" i="1"/>
  <c r="AM18" i="1"/>
  <c r="AL18" i="1"/>
  <c r="AK18" i="1"/>
  <c r="AK18" i="3" s="1"/>
  <c r="AJ18" i="1"/>
  <c r="AJ18" i="3" s="1"/>
  <c r="AI18" i="1"/>
  <c r="AI18" i="3" s="1"/>
  <c r="AH18" i="1"/>
  <c r="AH18" i="3" s="1"/>
  <c r="AG18" i="1"/>
  <c r="AG18" i="3" s="1"/>
  <c r="AF18" i="1"/>
  <c r="AF18" i="3" s="1"/>
  <c r="AE18" i="1"/>
  <c r="AE18" i="3" s="1"/>
  <c r="AD18" i="1"/>
  <c r="AD18" i="3" s="1"/>
  <c r="AC18" i="1"/>
  <c r="AC18" i="3" s="1"/>
  <c r="AB18" i="1"/>
  <c r="AB18" i="3" s="1"/>
  <c r="AP17" i="1"/>
  <c r="AO17" i="1"/>
  <c r="AN17" i="1"/>
  <c r="AM17" i="1"/>
  <c r="AL17" i="1"/>
  <c r="AK17" i="1"/>
  <c r="AK17" i="3" s="1"/>
  <c r="AJ17" i="1"/>
  <c r="AJ17" i="3" s="1"/>
  <c r="AI17" i="1"/>
  <c r="AI17" i="3" s="1"/>
  <c r="AH17" i="1"/>
  <c r="AH17" i="3" s="1"/>
  <c r="AG17" i="1"/>
  <c r="AG17" i="3" s="1"/>
  <c r="AF17" i="1"/>
  <c r="AF17" i="3" s="1"/>
  <c r="AE17" i="1"/>
  <c r="AE17" i="3" s="1"/>
  <c r="AD17" i="1"/>
  <c r="AD17" i="3" s="1"/>
  <c r="AC17" i="1"/>
  <c r="AC17" i="3" s="1"/>
  <c r="AB17" i="1"/>
  <c r="AB17" i="3" s="1"/>
  <c r="AN15" i="1"/>
  <c r="AM15" i="1"/>
  <c r="AL15" i="1"/>
  <c r="AK15" i="1"/>
  <c r="AJ15" i="1"/>
  <c r="AN13" i="1"/>
  <c r="AM13" i="1"/>
  <c r="AL13" i="1"/>
  <c r="AP12" i="1"/>
  <c r="AO12" i="1"/>
  <c r="AN12" i="1"/>
  <c r="AM12" i="1"/>
  <c r="AL12" i="1"/>
  <c r="AK12" i="1"/>
  <c r="AK13" i="1" s="1"/>
  <c r="AJ12" i="1"/>
  <c r="AJ13" i="1" s="1"/>
  <c r="AI12" i="1"/>
  <c r="AI13" i="1" s="1"/>
  <c r="AH12" i="1"/>
  <c r="AH13" i="1" s="1"/>
  <c r="AG12" i="1"/>
  <c r="AG13" i="1" s="1"/>
  <c r="AF12" i="1"/>
  <c r="AF13" i="1" s="1"/>
  <c r="AE12" i="1"/>
  <c r="AE13" i="1" s="1"/>
  <c r="AD12" i="1"/>
  <c r="AD13" i="1" s="1"/>
  <c r="AC12" i="1"/>
  <c r="AC13" i="1" s="1"/>
  <c r="AB12" i="1"/>
  <c r="AB13" i="1" s="1"/>
  <c r="AC10" i="1"/>
  <c r="AB10" i="1"/>
  <c r="AM10" i="1"/>
  <c r="AL10" i="1"/>
  <c r="AK10" i="1"/>
  <c r="AJ10" i="1"/>
  <c r="AI10" i="1"/>
  <c r="AH10" i="1"/>
  <c r="AG10" i="1"/>
  <c r="AF10" i="1"/>
  <c r="AE10" i="1"/>
  <c r="AD10" i="1"/>
  <c r="AN10" i="1"/>
  <c r="C65" i="1"/>
  <c r="B65" i="1"/>
  <c r="C53" i="1"/>
  <c r="B47" i="1"/>
  <c r="O34" i="1"/>
  <c r="N34" i="1"/>
  <c r="M34" i="1"/>
  <c r="L34" i="1"/>
  <c r="K34" i="1"/>
  <c r="J34" i="1"/>
  <c r="C15" i="1"/>
  <c r="C26" i="1" s="1"/>
  <c r="B15" i="1"/>
  <c r="B26" i="1" s="1"/>
  <c r="C13" i="1"/>
  <c r="B13" i="1"/>
  <c r="AC60" i="3" l="1"/>
  <c r="AE60" i="3"/>
  <c r="AK23" i="3"/>
  <c r="AI21" i="3"/>
  <c r="AI23" i="3"/>
  <c r="AH21" i="3"/>
  <c r="AJ21" i="3"/>
  <c r="AG23" i="3"/>
  <c r="AE23" i="3"/>
  <c r="AF21" i="3"/>
  <c r="AI65" i="3"/>
  <c r="AL65" i="3"/>
  <c r="AG65" i="3"/>
  <c r="AB60" i="3"/>
  <c r="AB65" i="3" s="1"/>
  <c r="AK61" i="3"/>
  <c r="AK65" i="3" s="1"/>
  <c r="B53" i="3"/>
  <c r="B67" i="3" s="1"/>
  <c r="C53" i="3"/>
  <c r="C67" i="3" s="1"/>
  <c r="AD60" i="3"/>
  <c r="AD65" i="3" s="1"/>
  <c r="AM61" i="3"/>
  <c r="AF60" i="3"/>
  <c r="AF65" i="3" s="1"/>
  <c r="AC61" i="3"/>
  <c r="AC65" i="3" s="1"/>
  <c r="AM65" i="3"/>
  <c r="AH65" i="3"/>
  <c r="AE61" i="3"/>
  <c r="AE65" i="3" s="1"/>
  <c r="AJ60" i="3"/>
  <c r="AJ65" i="3" s="1"/>
  <c r="C67" i="1"/>
  <c r="AE21" i="3"/>
  <c r="AG21" i="3"/>
  <c r="AB23" i="3"/>
  <c r="AB15" i="1"/>
  <c r="AK21" i="3"/>
  <c r="AF23" i="3"/>
  <c r="AH23" i="3"/>
  <c r="AC21" i="3"/>
  <c r="AJ23" i="3"/>
  <c r="T26" i="1"/>
  <c r="T46" i="1" s="1"/>
  <c r="AR15" i="1"/>
  <c r="B32" i="1"/>
  <c r="B34" i="1" s="1"/>
  <c r="B46" i="1"/>
  <c r="B53" i="1" s="1"/>
  <c r="B67" i="1" s="1"/>
  <c r="C32" i="1"/>
  <c r="C34" i="1" s="1"/>
  <c r="AB26" i="1"/>
  <c r="AB26" i="2"/>
  <c r="B34" i="3"/>
  <c r="AB15" i="2"/>
  <c r="C34" i="3"/>
  <c r="B67" i="2"/>
  <c r="C67" i="2"/>
  <c r="S71" i="3"/>
  <c r="AS71" i="3" s="1"/>
  <c r="AR26" i="1" l="1"/>
  <c r="T32" i="1"/>
  <c r="AR71" i="3"/>
  <c r="S12" i="3"/>
  <c r="AS12" i="3" s="1"/>
  <c r="S10" i="3"/>
  <c r="AS10" i="3" s="1"/>
  <c r="T36" i="3" l="1"/>
  <c r="T34" i="3" s="1"/>
  <c r="T34" i="1"/>
  <c r="AR12" i="3"/>
  <c r="S69" i="3"/>
  <c r="AS69" i="3" s="1"/>
  <c r="S63" i="3"/>
  <c r="S64" i="3"/>
  <c r="S62" i="3"/>
  <c r="S61" i="3"/>
  <c r="AS61" i="3" s="1"/>
  <c r="S60" i="3"/>
  <c r="AS60" i="3" s="1"/>
  <c r="S58" i="3"/>
  <c r="S57" i="3"/>
  <c r="S52" i="3"/>
  <c r="S51" i="3"/>
  <c r="S50" i="3"/>
  <c r="AS50" i="3" s="1"/>
  <c r="S48" i="3"/>
  <c r="S30" i="3"/>
  <c r="S29" i="3"/>
  <c r="S28" i="3"/>
  <c r="AS28" i="3" s="1"/>
  <c r="S24" i="3"/>
  <c r="S23" i="3"/>
  <c r="AS23" i="3" s="1"/>
  <c r="S22" i="3"/>
  <c r="S21" i="3"/>
  <c r="AS21" i="3" s="1"/>
  <c r="S18" i="3"/>
  <c r="AS18" i="3" s="1"/>
  <c r="S17" i="3"/>
  <c r="AS17" i="3" s="1"/>
  <c r="S11" i="3"/>
  <c r="S13" i="3" s="1"/>
  <c r="AS13" i="3" s="1"/>
  <c r="AR10" i="3"/>
  <c r="AQ10" i="3"/>
  <c r="AR10" i="2"/>
  <c r="AQ10" i="2"/>
  <c r="S13" i="2"/>
  <c r="AS13" i="2" s="1"/>
  <c r="R13" i="2"/>
  <c r="AR17" i="3" l="1"/>
  <c r="AR61" i="3"/>
  <c r="AR18" i="3"/>
  <c r="AR13" i="3"/>
  <c r="S15" i="2"/>
  <c r="AR13" i="2"/>
  <c r="R15" i="2"/>
  <c r="R26" i="2" s="1"/>
  <c r="AQ13" i="2"/>
  <c r="AR23" i="3"/>
  <c r="AR69" i="3"/>
  <c r="AR21" i="3"/>
  <c r="AR60" i="3"/>
  <c r="AR50" i="3"/>
  <c r="AR28" i="3"/>
  <c r="S65" i="3"/>
  <c r="S47" i="3"/>
  <c r="R32" i="2" l="1"/>
  <c r="R34" i="2" s="1"/>
  <c r="R46" i="2"/>
  <c r="R53" i="2" s="1"/>
  <c r="R67" i="2" s="1"/>
  <c r="AS15" i="2"/>
  <c r="S26" i="2"/>
  <c r="AS26" i="2" s="1"/>
  <c r="AQ15" i="2"/>
  <c r="AR15" i="2"/>
  <c r="AQ13" i="1"/>
  <c r="AO13" i="1"/>
  <c r="AP10" i="1"/>
  <c r="S46" i="2" l="1"/>
  <c r="S53" i="2" s="1"/>
  <c r="S67" i="2" s="1"/>
  <c r="S32" i="2"/>
  <c r="S34" i="2" s="1"/>
  <c r="AP13" i="1"/>
  <c r="AR26" i="2"/>
  <c r="AQ26" i="2"/>
  <c r="S15" i="1"/>
  <c r="AQ15" i="1" s="1"/>
  <c r="S26" i="1" l="1"/>
  <c r="S15" i="3"/>
  <c r="AS15" i="3" s="1"/>
  <c r="AO10" i="1"/>
  <c r="R15" i="1"/>
  <c r="AO15" i="1" s="1"/>
  <c r="R15" i="3"/>
  <c r="AQ15" i="3" s="1"/>
  <c r="AQ26" i="1" l="1"/>
  <c r="S46" i="1"/>
  <c r="AP15" i="1"/>
  <c r="R26" i="1"/>
  <c r="AR15" i="3"/>
  <c r="S32" i="1"/>
  <c r="S34" i="1" s="1"/>
  <c r="S26" i="3"/>
  <c r="AS26" i="3" s="1"/>
  <c r="R32" i="1"/>
  <c r="R34" i="1" s="1"/>
  <c r="F71" i="3"/>
  <c r="F69" i="3"/>
  <c r="F61" i="3"/>
  <c r="F60" i="3"/>
  <c r="F28" i="3"/>
  <c r="F11" i="3"/>
  <c r="F17" i="3"/>
  <c r="F18" i="3"/>
  <c r="F21" i="3"/>
  <c r="F22" i="3"/>
  <c r="F23" i="3"/>
  <c r="F24" i="3"/>
  <c r="F19" i="3"/>
  <c r="E71" i="3"/>
  <c r="E69" i="3"/>
  <c r="E61" i="3"/>
  <c r="E60" i="3"/>
  <c r="E28" i="3"/>
  <c r="E11" i="3"/>
  <c r="E17" i="3"/>
  <c r="E18" i="3"/>
  <c r="E21" i="3"/>
  <c r="E22" i="3"/>
  <c r="E23" i="3"/>
  <c r="E24" i="3"/>
  <c r="E19" i="3"/>
  <c r="D18" i="3"/>
  <c r="D17" i="3"/>
  <c r="D71" i="3"/>
  <c r="AC71" i="3" s="1"/>
  <c r="D69" i="3"/>
  <c r="AC69" i="3" s="1"/>
  <c r="D61" i="3"/>
  <c r="D60" i="3"/>
  <c r="D50" i="2"/>
  <c r="AC50" i="2" s="1"/>
  <c r="AC53" i="2" s="1"/>
  <c r="D28" i="3"/>
  <c r="AC28" i="3" s="1"/>
  <c r="D10" i="2"/>
  <c r="D11" i="3"/>
  <c r="D12" i="2"/>
  <c r="D21" i="3"/>
  <c r="D22" i="3"/>
  <c r="D23" i="3"/>
  <c r="D24" i="3"/>
  <c r="D19" i="3"/>
  <c r="D15" i="1"/>
  <c r="D13" i="1"/>
  <c r="I12" i="3"/>
  <c r="I11" i="3"/>
  <c r="H12" i="2"/>
  <c r="H12" i="3" s="1"/>
  <c r="H11" i="3"/>
  <c r="G12" i="2"/>
  <c r="G12" i="3" s="1"/>
  <c r="G11" i="3"/>
  <c r="F12" i="2"/>
  <c r="E12" i="2"/>
  <c r="I13" i="2"/>
  <c r="I13" i="1"/>
  <c r="H13" i="1"/>
  <c r="G13" i="1"/>
  <c r="F13" i="1"/>
  <c r="E13" i="1"/>
  <c r="I71" i="3"/>
  <c r="I69" i="3"/>
  <c r="I61" i="3"/>
  <c r="I60" i="3"/>
  <c r="I50" i="3"/>
  <c r="I28" i="3"/>
  <c r="I10" i="3"/>
  <c r="I17" i="3"/>
  <c r="I18" i="3"/>
  <c r="I21" i="3"/>
  <c r="I22" i="3"/>
  <c r="I23" i="3"/>
  <c r="I24" i="3"/>
  <c r="I15" i="2"/>
  <c r="I26" i="2" s="1"/>
  <c r="I15" i="1"/>
  <c r="H71" i="3"/>
  <c r="G71" i="3"/>
  <c r="H69" i="3"/>
  <c r="G69" i="3"/>
  <c r="H61" i="3"/>
  <c r="G61" i="3"/>
  <c r="H60" i="3"/>
  <c r="G60" i="3"/>
  <c r="H50" i="2"/>
  <c r="H50" i="3" s="1"/>
  <c r="G50" i="2"/>
  <c r="F50" i="2"/>
  <c r="E50" i="2"/>
  <c r="H28" i="3"/>
  <c r="G28" i="3"/>
  <c r="H10" i="2"/>
  <c r="H17" i="3"/>
  <c r="H18" i="3"/>
  <c r="H21" i="3"/>
  <c r="H22" i="3"/>
  <c r="H23" i="3"/>
  <c r="H24" i="3"/>
  <c r="G10" i="2"/>
  <c r="G10" i="3" s="1"/>
  <c r="G17" i="3"/>
  <c r="G18" i="3"/>
  <c r="G21" i="3"/>
  <c r="G22" i="3"/>
  <c r="G23" i="3"/>
  <c r="G24" i="3"/>
  <c r="F10" i="2"/>
  <c r="E10" i="2"/>
  <c r="H15" i="1"/>
  <c r="G15" i="1"/>
  <c r="F15" i="1"/>
  <c r="E15" i="1"/>
  <c r="D63" i="3"/>
  <c r="D51" i="2"/>
  <c r="D52" i="3"/>
  <c r="D47" i="3"/>
  <c r="D48" i="3"/>
  <c r="D57" i="3"/>
  <c r="D58" i="3"/>
  <c r="D62" i="3"/>
  <c r="D64" i="3"/>
  <c r="D29" i="3"/>
  <c r="D30" i="3"/>
  <c r="D65" i="2"/>
  <c r="D53" i="1"/>
  <c r="D65" i="1"/>
  <c r="E53" i="1"/>
  <c r="E65" i="1"/>
  <c r="E63" i="3"/>
  <c r="E51" i="2"/>
  <c r="E51" i="3" s="1"/>
  <c r="E52" i="3"/>
  <c r="E47" i="3"/>
  <c r="E48" i="3"/>
  <c r="E57" i="3"/>
  <c r="E58" i="3"/>
  <c r="E62" i="3"/>
  <c r="E64" i="3"/>
  <c r="E29" i="3"/>
  <c r="E30" i="3"/>
  <c r="E65" i="2"/>
  <c r="F63" i="3"/>
  <c r="F51" i="2"/>
  <c r="F51" i="3" s="1"/>
  <c r="F52" i="3"/>
  <c r="F47" i="3"/>
  <c r="F48" i="3"/>
  <c r="F57" i="3"/>
  <c r="F58" i="3"/>
  <c r="F62" i="3"/>
  <c r="F64" i="3"/>
  <c r="F29" i="3"/>
  <c r="F30" i="3"/>
  <c r="F65" i="2"/>
  <c r="F53" i="1"/>
  <c r="F65" i="1"/>
  <c r="G63" i="3"/>
  <c r="G51" i="2"/>
  <c r="G51" i="3" s="1"/>
  <c r="G52" i="3"/>
  <c r="G47" i="3"/>
  <c r="G48" i="3"/>
  <c r="G57" i="3"/>
  <c r="G58" i="3"/>
  <c r="G62" i="3"/>
  <c r="G64" i="3"/>
  <c r="G29" i="3"/>
  <c r="G30" i="3"/>
  <c r="G65" i="2"/>
  <c r="G53" i="1"/>
  <c r="G65" i="1"/>
  <c r="H53" i="1"/>
  <c r="H65" i="1"/>
  <c r="H51" i="2"/>
  <c r="H51" i="3" s="1"/>
  <c r="H52" i="3"/>
  <c r="H47" i="3"/>
  <c r="H48" i="3"/>
  <c r="H57" i="3"/>
  <c r="H58" i="3"/>
  <c r="H62" i="3"/>
  <c r="H63" i="3"/>
  <c r="H64" i="3"/>
  <c r="H29" i="3"/>
  <c r="H30" i="3"/>
  <c r="H65" i="2"/>
  <c r="I51" i="3"/>
  <c r="I52" i="3"/>
  <c r="I47" i="3"/>
  <c r="I48" i="3"/>
  <c r="I57" i="3"/>
  <c r="I58" i="3"/>
  <c r="I62" i="3"/>
  <c r="I63" i="3"/>
  <c r="I64" i="3"/>
  <c r="I30" i="3"/>
  <c r="I29" i="3"/>
  <c r="I53" i="1"/>
  <c r="I65" i="1"/>
  <c r="I53" i="2"/>
  <c r="I65" i="2"/>
  <c r="F15" i="2" l="1"/>
  <c r="AO26" i="1"/>
  <c r="R46" i="1"/>
  <c r="F67" i="1"/>
  <c r="I67" i="1"/>
  <c r="H67" i="1"/>
  <c r="G67" i="1"/>
  <c r="D50" i="3"/>
  <c r="AC50" i="3" s="1"/>
  <c r="AE50" i="2"/>
  <c r="AE53" i="2" s="1"/>
  <c r="AF28" i="3"/>
  <c r="AF69" i="3"/>
  <c r="AD71" i="3"/>
  <c r="AG28" i="3"/>
  <c r="AF71" i="3"/>
  <c r="AG71" i="3"/>
  <c r="AD28" i="3"/>
  <c r="F26" i="2"/>
  <c r="G26" i="1"/>
  <c r="AF15" i="1"/>
  <c r="G50" i="3"/>
  <c r="AF50" i="2"/>
  <c r="AF53" i="2" s="1"/>
  <c r="AG69" i="3"/>
  <c r="AI69" i="3"/>
  <c r="AH69" i="3"/>
  <c r="E12" i="3"/>
  <c r="E13" i="3" s="1"/>
  <c r="AD12" i="2"/>
  <c r="AD13" i="2" s="1"/>
  <c r="AI12" i="3"/>
  <c r="AH12" i="3"/>
  <c r="D12" i="3"/>
  <c r="AC12" i="3" s="1"/>
  <c r="AC12" i="2"/>
  <c r="AC13" i="2" s="1"/>
  <c r="AE28" i="3"/>
  <c r="AP26" i="1"/>
  <c r="F26" i="1"/>
  <c r="AE15" i="1"/>
  <c r="I67" i="2"/>
  <c r="D67" i="1"/>
  <c r="H26" i="1"/>
  <c r="AG15" i="1"/>
  <c r="AI71" i="3"/>
  <c r="AH71" i="3"/>
  <c r="F12" i="3"/>
  <c r="AE12" i="2"/>
  <c r="AE13" i="2" s="1"/>
  <c r="D10" i="3"/>
  <c r="AC10" i="3" s="1"/>
  <c r="AC10" i="2"/>
  <c r="AH50" i="2"/>
  <c r="AH53" i="2" s="1"/>
  <c r="AG50" i="2"/>
  <c r="AG53" i="2" s="1"/>
  <c r="AE69" i="3"/>
  <c r="AD10" i="2"/>
  <c r="H15" i="2"/>
  <c r="AH15" i="2" s="1"/>
  <c r="AH10" i="2"/>
  <c r="AG10" i="2"/>
  <c r="AI10" i="3"/>
  <c r="G13" i="2"/>
  <c r="AF12" i="2"/>
  <c r="AF13" i="2" s="1"/>
  <c r="F50" i="3"/>
  <c r="F10" i="3"/>
  <c r="AE10" i="2"/>
  <c r="AF10" i="2"/>
  <c r="AI15" i="2"/>
  <c r="AI28" i="3"/>
  <c r="AH28" i="3"/>
  <c r="AE71" i="3"/>
  <c r="I32" i="2"/>
  <c r="I34" i="2" s="1"/>
  <c r="AI26" i="2"/>
  <c r="AI50" i="3"/>
  <c r="AH50" i="3"/>
  <c r="AG12" i="3"/>
  <c r="D26" i="1"/>
  <c r="AC15" i="1"/>
  <c r="I26" i="1"/>
  <c r="AH15" i="1"/>
  <c r="AI15" i="1"/>
  <c r="H10" i="3"/>
  <c r="AG10" i="3" s="1"/>
  <c r="E10" i="3"/>
  <c r="E67" i="1"/>
  <c r="E26" i="1"/>
  <c r="AD15" i="1"/>
  <c r="E50" i="3"/>
  <c r="AD50" i="2"/>
  <c r="AD53" i="2" s="1"/>
  <c r="H13" i="2"/>
  <c r="AH12" i="2"/>
  <c r="AH13" i="2" s="1"/>
  <c r="AG12" i="2"/>
  <c r="AG13" i="2" s="1"/>
  <c r="AD69" i="3"/>
  <c r="AR26" i="3"/>
  <c r="H53" i="2"/>
  <c r="H67" i="2" s="1"/>
  <c r="E15" i="2"/>
  <c r="E53" i="2"/>
  <c r="E67" i="2" s="1"/>
  <c r="D53" i="2"/>
  <c r="D67" i="2" s="1"/>
  <c r="S46" i="3"/>
  <c r="S53" i="3" s="1"/>
  <c r="S67" i="3" s="1"/>
  <c r="S32" i="3"/>
  <c r="S34" i="3" s="1"/>
  <c r="E13" i="2"/>
  <c r="G53" i="2"/>
  <c r="G67" i="2" s="1"/>
  <c r="F53" i="2"/>
  <c r="F67" i="2" s="1"/>
  <c r="D51" i="3"/>
  <c r="G15" i="2"/>
  <c r="D15" i="2"/>
  <c r="F13" i="2"/>
  <c r="D13" i="2"/>
  <c r="I13" i="3"/>
  <c r="I65" i="3"/>
  <c r="E65" i="3"/>
  <c r="F65" i="3"/>
  <c r="D65" i="3"/>
  <c r="H13" i="3"/>
  <c r="G65" i="3"/>
  <c r="G13" i="3"/>
  <c r="H65" i="3"/>
  <c r="G15" i="3"/>
  <c r="I15" i="3"/>
  <c r="AD50" i="3" l="1"/>
  <c r="E15" i="3"/>
  <c r="E26" i="3" s="1"/>
  <c r="D15" i="3"/>
  <c r="AC15" i="3" s="1"/>
  <c r="AE12" i="3"/>
  <c r="D13" i="3"/>
  <c r="AC13" i="3" s="1"/>
  <c r="AE10" i="3"/>
  <c r="AF10" i="3"/>
  <c r="G32" i="1"/>
  <c r="G34" i="1" s="1"/>
  <c r="AF26" i="1"/>
  <c r="AG13" i="3"/>
  <c r="AH10" i="3"/>
  <c r="I32" i="1"/>
  <c r="I34" i="1" s="1"/>
  <c r="AH26" i="1"/>
  <c r="AI26" i="1"/>
  <c r="H15" i="3"/>
  <c r="AG15" i="3" s="1"/>
  <c r="AI13" i="3"/>
  <c r="AH13" i="3"/>
  <c r="E26" i="2"/>
  <c r="AD15" i="2"/>
  <c r="AI15" i="3"/>
  <c r="E32" i="1"/>
  <c r="E34" i="1" s="1"/>
  <c r="AD26" i="1"/>
  <c r="AE50" i="3"/>
  <c r="H26" i="2"/>
  <c r="AG15" i="2"/>
  <c r="F32" i="1"/>
  <c r="F34" i="1" s="1"/>
  <c r="AE26" i="1"/>
  <c r="F32" i="2"/>
  <c r="F34" i="2" s="1"/>
  <c r="F13" i="3"/>
  <c r="AE13" i="3" s="1"/>
  <c r="D32" i="1"/>
  <c r="D34" i="1" s="1"/>
  <c r="AC26" i="1"/>
  <c r="AF12" i="3"/>
  <c r="AF50" i="3"/>
  <c r="AE15" i="2"/>
  <c r="D26" i="2"/>
  <c r="AC15" i="2"/>
  <c r="F15" i="3"/>
  <c r="G26" i="2"/>
  <c r="AF15" i="2"/>
  <c r="AD10" i="3"/>
  <c r="H32" i="1"/>
  <c r="H34" i="1" s="1"/>
  <c r="AG26" i="1"/>
  <c r="AD12" i="3"/>
  <c r="AG50" i="3"/>
  <c r="G26" i="3"/>
  <c r="I26" i="3"/>
  <c r="D26" i="3" l="1"/>
  <c r="AC26" i="3" s="1"/>
  <c r="AD15" i="3"/>
  <c r="AD13" i="3"/>
  <c r="AH15" i="3"/>
  <c r="H26" i="3"/>
  <c r="AG26" i="3" s="1"/>
  <c r="AI26" i="3"/>
  <c r="F26" i="3"/>
  <c r="AF26" i="3" s="1"/>
  <c r="AE15" i="3"/>
  <c r="D32" i="2"/>
  <c r="D34" i="2" s="1"/>
  <c r="AC26" i="2"/>
  <c r="AF13" i="3"/>
  <c r="E32" i="2"/>
  <c r="E34" i="2" s="1"/>
  <c r="AD26" i="2"/>
  <c r="E32" i="3"/>
  <c r="E34" i="3" s="1"/>
  <c r="AD26" i="3"/>
  <c r="H32" i="2"/>
  <c r="H34" i="2" s="1"/>
  <c r="AG26" i="2"/>
  <c r="AH26" i="2"/>
  <c r="AF15" i="3"/>
  <c r="AE26" i="2"/>
  <c r="E46" i="3"/>
  <c r="E53" i="3" s="1"/>
  <c r="E67" i="3" s="1"/>
  <c r="G32" i="2"/>
  <c r="G34" i="2" s="1"/>
  <c r="AF26" i="2"/>
  <c r="G46" i="3"/>
  <c r="G32" i="3"/>
  <c r="G34" i="3" s="1"/>
  <c r="I32" i="3"/>
  <c r="I34" i="3" s="1"/>
  <c r="I46" i="3"/>
  <c r="D46" i="3" l="1"/>
  <c r="D53" i="3" s="1"/>
  <c r="D67" i="3" s="1"/>
  <c r="D32" i="3"/>
  <c r="D34" i="3" s="1"/>
  <c r="AH26" i="3"/>
  <c r="H46" i="3"/>
  <c r="H53" i="3" s="1"/>
  <c r="H67" i="3" s="1"/>
  <c r="H32" i="3"/>
  <c r="H34" i="3" s="1"/>
  <c r="F46" i="3"/>
  <c r="F53" i="3" s="1"/>
  <c r="F67" i="3" s="1"/>
  <c r="AE26" i="3"/>
  <c r="F32" i="3"/>
  <c r="F34" i="3" s="1"/>
  <c r="G53" i="3"/>
  <c r="G67" i="3" s="1"/>
  <c r="I53" i="3"/>
  <c r="I6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Hottinen Aaro</author>
  </authors>
  <commentList>
    <comment ref="Z71" authorId="0" shapeId="0" xr:uid="{3CEDACAA-D0D7-42D5-8133-A3287684E906}">
      <text>
        <r>
          <rPr>
            <b/>
            <sz val="9"/>
            <color indexed="81"/>
            <rFont val="Tahoma"/>
            <charset val="1"/>
          </rPr>
          <t>Hottinen Aaro:</t>
        </r>
        <r>
          <rPr>
            <sz val="9"/>
            <color indexed="81"/>
            <rFont val="Tahoma"/>
            <charset val="1"/>
          </rPr>
          <t xml:space="preserve">
huom. sulautus</t>
        </r>
      </text>
    </comment>
  </commentList>
</comments>
</file>

<file path=xl/sharedStrings.xml><?xml version="1.0" encoding="utf-8"?>
<sst xmlns="http://schemas.openxmlformats.org/spreadsheetml/2006/main" count="173" uniqueCount="58">
  <si>
    <t>Tuloslaskelman erä</t>
  </si>
  <si>
    <t>Toimintatuotot</t>
  </si>
  <si>
    <t>Valmistus omaan käyttöön</t>
  </si>
  <si>
    <t>Toimintakulut</t>
  </si>
  <si>
    <t>TOIMINTAKATE</t>
  </si>
  <si>
    <t>Verotulot</t>
  </si>
  <si>
    <t>Valtionosuudet</t>
  </si>
  <si>
    <t>Alv-takaisinperintä</t>
  </si>
  <si>
    <t>Rahoitustuotot ja -kulut</t>
  </si>
  <si>
    <t xml:space="preserve">   Korkotuotot</t>
  </si>
  <si>
    <t xml:space="preserve">   Muut rahoitustuotot</t>
  </si>
  <si>
    <t xml:space="preserve">   Korkokulut</t>
  </si>
  <si>
    <t xml:space="preserve">   Muut rahoituskulut</t>
  </si>
  <si>
    <t>VUOSIKATE</t>
  </si>
  <si>
    <t>Poistot ja arvonalentumiset</t>
  </si>
  <si>
    <t>Satunnaiset tuotot</t>
  </si>
  <si>
    <t>Satunnaiset kulut</t>
  </si>
  <si>
    <t>TILIKAUDEN TULOS</t>
  </si>
  <si>
    <t>Rahoituslaskelman erä</t>
  </si>
  <si>
    <t xml:space="preserve">  Vuosikate</t>
  </si>
  <si>
    <t xml:space="preserve">  Satunnaiset erät, netto</t>
  </si>
  <si>
    <t xml:space="preserve">  Tulorahoituksen korjauserät</t>
  </si>
  <si>
    <t>Antolainauksen muutokset</t>
  </si>
  <si>
    <t xml:space="preserve">  Antolainasaamisten lisäykset</t>
  </si>
  <si>
    <t xml:space="preserve">  Antolainasaamisten vähennykset</t>
  </si>
  <si>
    <t>Lainakannan muutokset</t>
  </si>
  <si>
    <t xml:space="preserve">  Pitkäaikaisten lainojen lisäys</t>
  </si>
  <si>
    <t xml:space="preserve">  Pitkäaikaisten lainojen vähennys</t>
  </si>
  <si>
    <t xml:space="preserve">  Lyhytaikaisten lainojen muutos</t>
  </si>
  <si>
    <t>Oman pääoman muutokset</t>
  </si>
  <si>
    <t>Muut maksuvalmiuden muutokset</t>
  </si>
  <si>
    <t>LAINAKANTA 31.12.</t>
  </si>
  <si>
    <t>Vuosimuutos, %:</t>
  </si>
  <si>
    <t>keskim./v</t>
  </si>
  <si>
    <t xml:space="preserve">  Investointimenot</t>
  </si>
  <si>
    <t xml:space="preserve">  Rahoitusosuudet investointeihin</t>
  </si>
  <si>
    <t>Toimintakulut - valm. omaan käyttöön</t>
  </si>
  <si>
    <t>Toiminnan rahavirta</t>
  </si>
  <si>
    <t>Investointien rahavirta</t>
  </si>
  <si>
    <t>Toiminnan ja investointien rahavirta</t>
  </si>
  <si>
    <t>Rahoituksen rahavirta</t>
  </si>
  <si>
    <t>Rahavarojen muutos</t>
  </si>
  <si>
    <t>RAHAVARAT 31.12.</t>
  </si>
  <si>
    <t>Toimintakulut + valm. omaan käyttöön</t>
  </si>
  <si>
    <t xml:space="preserve">  Investointihyödykkeiden luovutustulot</t>
  </si>
  <si>
    <t>Tilinpäätössiirrot</t>
  </si>
  <si>
    <t>Tilikauden yli-/alijäämä</t>
  </si>
  <si>
    <t>Lähde: Tilastokeskus</t>
  </si>
  <si>
    <t/>
  </si>
  <si>
    <t>2010-21</t>
  </si>
  <si>
    <t>Mennr-Suomen kuntayhtymien rahoituslaskelma 2010-2021, m€</t>
  </si>
  <si>
    <t>Manner-Suomen kuntayhtymien tuloslaskelma 2010-2021, m€</t>
  </si>
  <si>
    <t>Manner-Suomen kuntien tuloslaskelma 2010-2021, m€</t>
  </si>
  <si>
    <t>Manner-Suomen kuntien rahoituslaskelma 2010-2021, m€</t>
  </si>
  <si>
    <t>Manner-Suomen kuntien ja kuntayhtymien tuloslaskelma 2010-2021</t>
  </si>
  <si>
    <t>Manner-Suomen kuntien ja kuntayhtymien rahoituslaskelma 2010-2021</t>
  </si>
  <si>
    <t>Lähde: Tilastokeskus / Valtiokonttori</t>
  </si>
  <si>
    <t>11.10.2022 /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</si>
</sst>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000"/>
  </numFmts>
  <fonts count="4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9" tint="-0.499984740745262"/>
      <name val="Arial"/>
      <family val="2"/>
    </font>
    <font>
      <i/>
      <sz val="9"/>
      <color theme="9" tint="-0.499984740745262"/>
      <name val="Arial"/>
      <family val="2"/>
    </font>
    <font>
      <i/>
      <sz val="9"/>
      <name val="Arial Narrow"/>
      <family val="2"/>
    </font>
    <font>
      <i/>
      <sz val="9"/>
      <color theme="1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i/>
      <sz val="9"/>
      <color theme="9" tint="-0.499984740745262"/>
      <name val="Arial Narrow"/>
      <family val="2"/>
    </font>
    <font>
      <sz val="10"/>
      <name val="Arial Narrow"/>
      <family val="2"/>
    </font>
    <font>
      <i/>
      <sz val="9"/>
      <color rgb="FF0000FF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sz val="10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9"/>
      <color theme="5"/>
      <name val="Arial"/>
      <family val="2"/>
    </font>
    <font>
      <i/>
      <sz val="9"/>
      <color rgb="FFFF0000"/>
      <name val="Arial Narrow"/>
      <family val="2"/>
    </font>
    <font>
      <sz val="8"/>
      <color theme="5"/>
      <name val="Arial"/>
      <family val="2"/>
    </font>
    <font>
      <b/>
      <sz val="14"/>
      <color theme="5"/>
      <name val="Arial"/>
      <family val="2"/>
    </font>
    <font>
      <sz val="11"/>
      <color theme="5"/>
      <name val="Arial"/>
      <family val="2"/>
    </font>
    <font>
      <b/>
      <sz val="10"/>
      <color rgb="FFFF0000"/>
      <name val="Arial"/>
      <family val="2"/>
    </font>
    <font>
      <sz val="11"/>
      <color theme="5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7" fillId="0" borderId="0" xfId="0" applyFont="1"/>
    <xf numFmtId="3" fontId="8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0" fontId="7" fillId="0" borderId="0" xfId="0" applyFont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0" fontId="9" fillId="0" borderId="0" xfId="0" applyFont="1"/>
    <xf numFmtId="164" fontId="10" fillId="0" borderId="0" xfId="0" applyNumberFormat="1" applyFont="1"/>
    <xf numFmtId="0" fontId="11" fillId="0" borderId="1" xfId="0" applyFont="1" applyBorder="1"/>
    <xf numFmtId="0" fontId="10" fillId="0" borderId="1" xfId="0" applyFont="1" applyBorder="1"/>
    <xf numFmtId="0" fontId="2" fillId="0" borderId="1" xfId="0" applyFont="1" applyBorder="1"/>
    <xf numFmtId="0" fontId="11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3" fontId="3" fillId="0" borderId="1" xfId="0" applyNumberFormat="1" applyFont="1" applyBorder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3" fontId="16" fillId="0" borderId="0" xfId="0" applyNumberFormat="1" applyFont="1"/>
    <xf numFmtId="3" fontId="17" fillId="0" borderId="0" xfId="0" applyNumberFormat="1" applyFont="1"/>
    <xf numFmtId="3" fontId="18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/>
    <xf numFmtId="0" fontId="19" fillId="0" borderId="0" xfId="0" applyFont="1"/>
    <xf numFmtId="3" fontId="19" fillId="0" borderId="0" xfId="0" applyNumberFormat="1" applyFont="1"/>
    <xf numFmtId="0" fontId="20" fillId="0" borderId="0" xfId="0" applyFont="1"/>
    <xf numFmtId="0" fontId="0" fillId="0" borderId="1" xfId="0" applyBorder="1"/>
    <xf numFmtId="3" fontId="12" fillId="0" borderId="0" xfId="0" applyNumberFormat="1" applyFont="1"/>
    <xf numFmtId="1" fontId="8" fillId="0" borderId="0" xfId="0" applyNumberFormat="1" applyFont="1"/>
    <xf numFmtId="1" fontId="1" fillId="0" borderId="0" xfId="0" applyNumberFormat="1" applyFont="1"/>
    <xf numFmtId="3" fontId="19" fillId="0" borderId="2" xfId="0" applyNumberFormat="1" applyFont="1" applyBorder="1"/>
    <xf numFmtId="0" fontId="7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164" fontId="21" fillId="0" borderId="0" xfId="0" applyNumberFormat="1" applyFont="1"/>
    <xf numFmtId="164" fontId="22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5" fillId="0" borderId="0" xfId="0" applyFont="1"/>
    <xf numFmtId="0" fontId="26" fillId="0" borderId="0" xfId="0" applyFont="1"/>
    <xf numFmtId="0" fontId="23" fillId="0" borderId="1" xfId="0" applyFont="1" applyBorder="1"/>
    <xf numFmtId="0" fontId="24" fillId="0" borderId="0" xfId="0" applyFont="1" applyAlignment="1">
      <alignment horizontal="center"/>
    </xf>
    <xf numFmtId="164" fontId="27" fillId="0" borderId="0" xfId="0" applyNumberFormat="1" applyFont="1"/>
    <xf numFmtId="164" fontId="24" fillId="0" borderId="0" xfId="0" applyNumberFormat="1" applyFont="1"/>
    <xf numFmtId="0" fontId="28" fillId="0" borderId="0" xfId="0" applyFont="1"/>
    <xf numFmtId="0" fontId="29" fillId="0" borderId="0" xfId="0" applyFont="1"/>
    <xf numFmtId="3" fontId="3" fillId="0" borderId="0" xfId="0" applyNumberFormat="1" applyFont="1" applyBorder="1"/>
    <xf numFmtId="0" fontId="30" fillId="0" borderId="0" xfId="0" applyFont="1"/>
    <xf numFmtId="165" fontId="21" fillId="0" borderId="0" xfId="0" applyNumberFormat="1" applyFont="1"/>
    <xf numFmtId="0" fontId="31" fillId="0" borderId="0" xfId="0" applyFont="1"/>
    <xf numFmtId="3" fontId="3" fillId="0" borderId="2" xfId="0" applyNumberFormat="1" applyFont="1" applyBorder="1"/>
    <xf numFmtId="1" fontId="0" fillId="0" borderId="0" xfId="0" applyNumberFormat="1" applyBorder="1"/>
    <xf numFmtId="1" fontId="19" fillId="0" borderId="2" xfId="0" applyNumberFormat="1" applyFont="1" applyBorder="1"/>
    <xf numFmtId="1" fontId="0" fillId="0" borderId="2" xfId="0" applyNumberFormat="1" applyBorder="1"/>
    <xf numFmtId="0" fontId="5" fillId="0" borderId="0" xfId="0" quotePrefix="1" applyFont="1"/>
    <xf numFmtId="0" fontId="22" fillId="0" borderId="0" xfId="0" applyFont="1" applyBorder="1"/>
    <xf numFmtId="0" fontId="32" fillId="0" borderId="0" xfId="0" applyFont="1" applyAlignment="1">
      <alignment horizontal="center"/>
    </xf>
    <xf numFmtId="0" fontId="33" fillId="0" borderId="0" xfId="0" applyFont="1"/>
    <xf numFmtId="3" fontId="33" fillId="0" borderId="0" xfId="0" applyNumberFormat="1" applyFont="1"/>
    <xf numFmtId="3" fontId="34" fillId="0" borderId="0" xfId="0" applyNumberFormat="1" applyFont="1"/>
    <xf numFmtId="3" fontId="32" fillId="0" borderId="0" xfId="0" applyNumberFormat="1" applyFont="1"/>
    <xf numFmtId="3" fontId="33" fillId="0" borderId="1" xfId="0" applyNumberFormat="1" applyFont="1" applyBorder="1"/>
    <xf numFmtId="0" fontId="35" fillId="0" borderId="0" xfId="0" applyFont="1"/>
    <xf numFmtId="164" fontId="35" fillId="0" borderId="0" xfId="0" applyNumberFormat="1" applyFont="1"/>
    <xf numFmtId="0" fontId="24" fillId="0" borderId="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4" fontId="36" fillId="0" borderId="0" xfId="0" applyNumberFormat="1" applyFont="1" applyAlignment="1">
      <alignment horizontal="left"/>
    </xf>
    <xf numFmtId="0" fontId="37" fillId="0" borderId="0" xfId="0" applyFont="1"/>
    <xf numFmtId="0" fontId="38" fillId="0" borderId="0" xfId="0" applyFont="1"/>
    <xf numFmtId="0" fontId="32" fillId="0" borderId="0" xfId="0" applyFont="1"/>
    <xf numFmtId="0" fontId="34" fillId="0" borderId="0" xfId="0" applyFont="1"/>
    <xf numFmtId="1" fontId="33" fillId="0" borderId="0" xfId="0" applyNumberFormat="1" applyFont="1"/>
    <xf numFmtId="1" fontId="32" fillId="0" borderId="0" xfId="0" applyNumberFormat="1" applyFont="1"/>
    <xf numFmtId="1" fontId="33" fillId="0" borderId="1" xfId="0" applyNumberFormat="1" applyFont="1" applyBorder="1"/>
    <xf numFmtId="3" fontId="30" fillId="0" borderId="0" xfId="0" applyNumberFormat="1" applyFont="1"/>
    <xf numFmtId="0" fontId="39" fillId="0" borderId="0" xfId="0" applyFont="1" applyAlignment="1">
      <alignment horizontal="center"/>
    </xf>
    <xf numFmtId="1" fontId="30" fillId="0" borderId="0" xfId="0" applyNumberFormat="1" applyFont="1"/>
    <xf numFmtId="3" fontId="40" fillId="0" borderId="0" xfId="0" applyNumberFormat="1" applyFont="1"/>
    <xf numFmtId="3" fontId="1" fillId="0" borderId="0" xfId="0" applyNumberFormat="1" applyFont="1" applyBorder="1"/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63EAC64B-4F78-46F9-9C4C-36D3B5B8AE7F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2:AX97"/>
  <sheetViews>
    <sheetView tabSelected="1" workbookViewId="0">
      <pane xSplit="1" ySplit="8" topLeftCell="Q9" activePane="bottomRight" state="frozen"/>
      <selection activeCell="AO39" sqref="AO39"/>
      <selection pane="topRight" activeCell="AO39" sqref="AO39"/>
      <selection pane="bottomLeft" activeCell="AO39" sqref="AO39"/>
      <selection pane="bottomRight" activeCell="A4" sqref="A4"/>
    </sheetView>
  </sheetViews>
  <sheetFormatPr defaultRowHeight="12.75" x14ac:dyDescent="0.2"/>
  <cols>
    <col min="1" max="1" width="67.42578125" customWidth="1"/>
    <col min="2" max="3" width="7.5703125" style="75" hidden="1" customWidth="1"/>
    <col min="4" max="10" width="7.7109375" style="75" hidden="1" customWidth="1"/>
    <col min="11" max="11" width="0.140625" hidden="1" customWidth="1"/>
    <col min="12" max="14" width="7.140625" hidden="1" customWidth="1"/>
    <col min="15" max="16" width="7.140625" customWidth="1"/>
    <col min="17" max="18" width="7.28515625" customWidth="1"/>
    <col min="19" max="26" width="7.140625" customWidth="1"/>
    <col min="27" max="27" width="1.140625" customWidth="1"/>
    <col min="28" max="30" width="5.7109375" hidden="1" customWidth="1"/>
    <col min="31" max="36" width="5.7109375" style="2" hidden="1" customWidth="1"/>
    <col min="37" max="37" width="5" style="2" hidden="1" customWidth="1"/>
    <col min="38" max="44" width="5" style="2" customWidth="1"/>
    <col min="45" max="46" width="6.7109375" style="31" customWidth="1"/>
    <col min="47" max="49" width="7.28515625" style="31" customWidth="1"/>
    <col min="50" max="50" width="8.5703125" style="65" customWidth="1"/>
  </cols>
  <sheetData>
    <row r="2" spans="1:50" x14ac:dyDescent="0.2">
      <c r="A2" s="7" t="s">
        <v>57</v>
      </c>
      <c r="B2" s="84"/>
      <c r="C2" s="84"/>
    </row>
    <row r="3" spans="1:50" ht="18" x14ac:dyDescent="0.25">
      <c r="A3" s="5" t="s">
        <v>52</v>
      </c>
      <c r="B3" s="85"/>
      <c r="C3" s="8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50" ht="14.25" x14ac:dyDescent="0.2">
      <c r="A4" s="6" t="s">
        <v>56</v>
      </c>
      <c r="B4" s="86"/>
      <c r="C4" s="86"/>
      <c r="V4" s="1"/>
      <c r="W4" s="1"/>
      <c r="X4" s="1"/>
      <c r="Y4" s="1"/>
      <c r="Z4" s="1"/>
    </row>
    <row r="5" spans="1:50" x14ac:dyDescent="0.2">
      <c r="AS5" s="67"/>
      <c r="AT5" s="67"/>
      <c r="AU5" s="67"/>
      <c r="AV5" s="67"/>
      <c r="AW5" s="67"/>
    </row>
    <row r="6" spans="1:50" ht="13.5" x14ac:dyDescent="0.25">
      <c r="A6" s="8" t="s">
        <v>0</v>
      </c>
      <c r="B6" s="74">
        <v>1997</v>
      </c>
      <c r="C6" s="74">
        <v>1998</v>
      </c>
      <c r="D6" s="74">
        <v>1999</v>
      </c>
      <c r="E6" s="74">
        <v>2000</v>
      </c>
      <c r="F6" s="74">
        <v>2001</v>
      </c>
      <c r="G6" s="74">
        <v>2002</v>
      </c>
      <c r="H6" s="74">
        <v>2003</v>
      </c>
      <c r="I6" s="74">
        <v>2004</v>
      </c>
      <c r="J6" s="74">
        <v>2005</v>
      </c>
      <c r="K6" s="12">
        <v>2006</v>
      </c>
      <c r="L6" s="74">
        <v>2007</v>
      </c>
      <c r="M6" s="74">
        <v>2008</v>
      </c>
      <c r="N6" s="74">
        <v>2009</v>
      </c>
      <c r="O6" s="12">
        <v>2010</v>
      </c>
      <c r="P6" s="12">
        <v>2011</v>
      </c>
      <c r="Q6" s="12">
        <v>2012</v>
      </c>
      <c r="R6" s="12">
        <v>2013</v>
      </c>
      <c r="S6" s="12">
        <v>2014</v>
      </c>
      <c r="T6" s="12">
        <v>2015</v>
      </c>
      <c r="U6" s="12">
        <v>2016</v>
      </c>
      <c r="V6" s="12">
        <v>2017</v>
      </c>
      <c r="W6" s="12">
        <v>2018</v>
      </c>
      <c r="X6" s="12">
        <v>2019</v>
      </c>
      <c r="Y6" s="12">
        <v>2020</v>
      </c>
      <c r="Z6" s="12">
        <v>2021</v>
      </c>
      <c r="AB6" s="19" t="s">
        <v>32</v>
      </c>
      <c r="AC6" s="40"/>
      <c r="AD6" s="40"/>
      <c r="AE6" s="21"/>
      <c r="AF6" s="21"/>
      <c r="AG6" s="21"/>
      <c r="AH6" s="21"/>
      <c r="AI6" s="21"/>
      <c r="AJ6" s="21"/>
      <c r="AL6" s="53" t="s">
        <v>32</v>
      </c>
      <c r="AM6" s="54"/>
      <c r="AN6" s="54"/>
      <c r="AO6" s="54"/>
      <c r="AP6" s="54"/>
      <c r="AQ6" s="54"/>
      <c r="AR6" s="54"/>
      <c r="AS6" s="55"/>
      <c r="AT6" s="73"/>
      <c r="AU6" s="73"/>
      <c r="AV6" s="73"/>
      <c r="AW6" s="73"/>
    </row>
    <row r="7" spans="1:50" ht="13.5" x14ac:dyDescent="0.25">
      <c r="A7" s="1"/>
      <c r="K7" s="4"/>
      <c r="L7" s="75"/>
      <c r="M7" s="75"/>
      <c r="N7" s="7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B7" s="22">
        <v>1998</v>
      </c>
      <c r="AC7" s="22">
        <v>1999</v>
      </c>
      <c r="AD7" s="22">
        <v>2000</v>
      </c>
      <c r="AE7" s="22">
        <v>2001</v>
      </c>
      <c r="AF7" s="22">
        <v>2002</v>
      </c>
      <c r="AG7" s="22">
        <v>2003</v>
      </c>
      <c r="AH7" s="22">
        <v>2004</v>
      </c>
      <c r="AI7" s="22">
        <v>2005</v>
      </c>
      <c r="AJ7" s="22">
        <v>2006</v>
      </c>
      <c r="AK7" s="22">
        <v>2007</v>
      </c>
      <c r="AL7" s="59">
        <v>2010</v>
      </c>
      <c r="AM7" s="59">
        <v>2011</v>
      </c>
      <c r="AN7" s="59">
        <v>2012</v>
      </c>
      <c r="AO7" s="59">
        <v>2013</v>
      </c>
      <c r="AP7" s="59">
        <v>2014</v>
      </c>
      <c r="AQ7" s="59">
        <v>2015</v>
      </c>
      <c r="AR7" s="59">
        <v>2016</v>
      </c>
      <c r="AS7" s="59">
        <v>2017</v>
      </c>
      <c r="AT7" s="82">
        <v>2018</v>
      </c>
      <c r="AU7" s="82">
        <v>2019</v>
      </c>
      <c r="AV7" s="82">
        <v>2020</v>
      </c>
      <c r="AW7" s="82">
        <v>2021</v>
      </c>
      <c r="AX7" s="82" t="s">
        <v>49</v>
      </c>
    </row>
    <row r="8" spans="1:50" ht="13.5" x14ac:dyDescent="0.25">
      <c r="A8" s="1"/>
      <c r="K8" s="4"/>
      <c r="L8" s="75"/>
      <c r="M8" s="75"/>
      <c r="N8" s="7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D8" s="23"/>
      <c r="AE8" s="23"/>
      <c r="AF8" s="23"/>
      <c r="AG8" s="23"/>
      <c r="AH8" s="23"/>
      <c r="AI8" s="23"/>
      <c r="AJ8" s="23"/>
      <c r="AK8" s="23"/>
      <c r="AL8" s="47"/>
      <c r="AM8" s="47"/>
      <c r="AN8" s="47"/>
      <c r="AO8" s="47"/>
      <c r="AP8" s="47"/>
      <c r="AQ8" s="47"/>
      <c r="AR8" s="47"/>
      <c r="AX8" s="59" t="s">
        <v>33</v>
      </c>
    </row>
    <row r="9" spans="1:50" ht="13.5" x14ac:dyDescent="0.25">
      <c r="A9" s="1"/>
      <c r="K9" s="4"/>
      <c r="L9" s="75"/>
      <c r="M9" s="75"/>
      <c r="N9" s="75"/>
      <c r="O9" s="11"/>
      <c r="P9" s="11"/>
      <c r="Q9" s="11"/>
      <c r="R9" s="11"/>
      <c r="S9" s="11"/>
      <c r="T9" s="11"/>
      <c r="U9" s="11"/>
      <c r="V9" s="11"/>
      <c r="W9" s="4"/>
      <c r="X9" s="4"/>
      <c r="Y9" s="4"/>
      <c r="Z9" s="4"/>
      <c r="AD9" s="23"/>
      <c r="AE9" s="23"/>
      <c r="AF9" s="23"/>
      <c r="AG9" s="23"/>
      <c r="AH9" s="23"/>
      <c r="AI9" s="23"/>
      <c r="AJ9" s="23"/>
      <c r="AK9" s="23"/>
      <c r="AL9" s="47"/>
      <c r="AM9" s="47"/>
      <c r="AN9" s="47"/>
      <c r="AO9" s="47"/>
      <c r="AP9" s="47"/>
      <c r="AQ9" s="47"/>
      <c r="AR9" s="47"/>
      <c r="AX9" s="59"/>
    </row>
    <row r="10" spans="1:50" ht="15" customHeight="1" x14ac:dyDescent="0.25">
      <c r="A10" s="1" t="s">
        <v>1</v>
      </c>
      <c r="B10" s="76">
        <v>4189.5612481562393</v>
      </c>
      <c r="C10" s="76">
        <v>4302.751722664837</v>
      </c>
      <c r="D10" s="76">
        <v>4397.7762192363261</v>
      </c>
      <c r="E10" s="76">
        <v>4503.4537390698879</v>
      </c>
      <c r="F10" s="76">
        <v>4702.1850000000004</v>
      </c>
      <c r="G10" s="76">
        <v>4989.098</v>
      </c>
      <c r="H10" s="76">
        <v>5288.8639999999996</v>
      </c>
      <c r="I10" s="76">
        <v>5571.9260000000004</v>
      </c>
      <c r="J10" s="76">
        <v>5703.0739999999996</v>
      </c>
      <c r="K10" s="11">
        <v>6159.6629999999996</v>
      </c>
      <c r="L10" s="76">
        <v>6343.0439999999999</v>
      </c>
      <c r="M10" s="76">
        <v>6730.4</v>
      </c>
      <c r="N10" s="76">
        <v>6795.3739999999998</v>
      </c>
      <c r="O10" s="11">
        <v>7105.2090000000007</v>
      </c>
      <c r="P10" s="11">
        <v>7351.5830000000005</v>
      </c>
      <c r="Q10" s="11">
        <v>7478.723</v>
      </c>
      <c r="R10" s="11">
        <v>7612.6269999999995</v>
      </c>
      <c r="S10" s="11">
        <v>7601.4430000000002</v>
      </c>
      <c r="T10" s="11">
        <v>6290.7400000000007</v>
      </c>
      <c r="U10" s="11">
        <v>6448.3869999999997</v>
      </c>
      <c r="V10" s="11">
        <v>6283.2879999999996</v>
      </c>
      <c r="W10" s="35">
        <v>6593.8</v>
      </c>
      <c r="X10" s="35">
        <v>6290.0630000000001</v>
      </c>
      <c r="Y10" s="11">
        <v>5966.8950000000004</v>
      </c>
      <c r="Z10" s="11">
        <v>7173.7340000000004</v>
      </c>
      <c r="AB10" s="18">
        <f>100*(C10-B10)/B10</f>
        <v>2.7017262143717553</v>
      </c>
      <c r="AC10" s="18">
        <f>100*(D10-C10)/C10</f>
        <v>2.2084587421334492</v>
      </c>
      <c r="AD10" s="18">
        <f>100*(E10-D10)/D10</f>
        <v>2.4029762899557596</v>
      </c>
      <c r="AE10" s="18">
        <f>100*(F10-E10)/E10</f>
        <v>4.4128633809649633</v>
      </c>
      <c r="AF10" s="18">
        <f>100*(G10-F10)/F10</f>
        <v>6.1016952757069216</v>
      </c>
      <c r="AG10" s="18">
        <f>100*(H10-G10)/G10</f>
        <v>6.0084207606264624</v>
      </c>
      <c r="AH10" s="18">
        <f>100*(I10-H10)/H10</f>
        <v>5.3520377911022257</v>
      </c>
      <c r="AI10" s="18">
        <f>100*(J10-I10)/I10</f>
        <v>2.3537283158462481</v>
      </c>
      <c r="AJ10" s="18">
        <f>100*(K10-J10)/J10</f>
        <v>8.0060157031102879</v>
      </c>
      <c r="AK10" s="18">
        <f>100*(L10-K10)/K10</f>
        <v>2.9771271577682143</v>
      </c>
      <c r="AL10" s="49">
        <f>100*(O10-N10)/N10</f>
        <v>4.5594988590767915</v>
      </c>
      <c r="AM10" s="49">
        <f>100*(P10-O10)/O10</f>
        <v>3.4675123560756589</v>
      </c>
      <c r="AN10" s="49">
        <f>100*(Q10-P10)/P10</f>
        <v>1.7294234452634134</v>
      </c>
      <c r="AO10" s="49">
        <f>100*(R10-Q10)/Q10</f>
        <v>1.7904660996268955</v>
      </c>
      <c r="AP10" s="49">
        <f>100*(S10-R10)/R10</f>
        <v>-0.14691380518182867</v>
      </c>
      <c r="AQ10" s="49">
        <f>100*(T10-S10)/S10</f>
        <v>-17.242818238589692</v>
      </c>
      <c r="AR10" s="49">
        <f>100*(U10-T10)/T10</f>
        <v>2.5060167802197992</v>
      </c>
      <c r="AS10" s="49">
        <f>100*(V10-U10)/U10</f>
        <v>-2.5603146957525995</v>
      </c>
      <c r="AT10" s="49">
        <f t="shared" ref="AT10" si="0">100*(W10-V10)/V10</f>
        <v>4.9418711986463242</v>
      </c>
      <c r="AU10" s="49">
        <f>100*(X10-W10)/W10</f>
        <v>-4.6064029846219183</v>
      </c>
      <c r="AV10" s="49">
        <f>100*(Y10-X10)/X10</f>
        <v>-5.1377545821083137</v>
      </c>
      <c r="AW10" s="49">
        <f>100*(Z10-Y10)/Y10</f>
        <v>20.22557795972612</v>
      </c>
      <c r="AX10" s="49">
        <f>100*(EXP(LN(Z10/O10)/11)-1)</f>
        <v>8.7293743042926586E-2</v>
      </c>
    </row>
    <row r="11" spans="1:50" ht="15" customHeight="1" x14ac:dyDescent="0.25">
      <c r="A11" s="1" t="s">
        <v>2</v>
      </c>
      <c r="B11" s="76">
        <v>118.57248815536528</v>
      </c>
      <c r="C11" s="76">
        <v>128.83195166951745</v>
      </c>
      <c r="D11" s="76">
        <v>166.22483698385227</v>
      </c>
      <c r="E11" s="76">
        <v>331.27975875123826</v>
      </c>
      <c r="F11" s="76">
        <v>377.58499999999998</v>
      </c>
      <c r="G11" s="76">
        <v>401.04599999999999</v>
      </c>
      <c r="H11" s="76">
        <v>418.88</v>
      </c>
      <c r="I11" s="76">
        <v>411.05</v>
      </c>
      <c r="J11" s="76">
        <v>364.01</v>
      </c>
      <c r="K11" s="11">
        <v>397.35700000000003</v>
      </c>
      <c r="L11" s="76">
        <v>414.88799999999998</v>
      </c>
      <c r="M11" s="76">
        <v>488.62</v>
      </c>
      <c r="N11" s="76">
        <v>486.57499999999999</v>
      </c>
      <c r="O11" s="11">
        <v>487.16</v>
      </c>
      <c r="P11" s="11">
        <v>629.41899999999998</v>
      </c>
      <c r="Q11" s="11">
        <v>593.75800000000004</v>
      </c>
      <c r="R11" s="11">
        <v>584.42999999999995</v>
      </c>
      <c r="S11" s="11">
        <v>501.92</v>
      </c>
      <c r="T11" s="11">
        <v>509.57</v>
      </c>
      <c r="U11" s="11">
        <v>445.73</v>
      </c>
      <c r="V11" s="11">
        <v>407.44799999999998</v>
      </c>
      <c r="W11" s="11">
        <v>312</v>
      </c>
      <c r="X11" s="11">
        <v>330.46</v>
      </c>
      <c r="Y11" s="11">
        <v>322.90000000000003</v>
      </c>
      <c r="Z11" s="11">
        <v>241.71299999999999</v>
      </c>
      <c r="AD11" s="23"/>
      <c r="AE11" s="23"/>
      <c r="AF11" s="23"/>
      <c r="AG11" s="23"/>
      <c r="AH11" s="23"/>
      <c r="AI11" s="23"/>
      <c r="AJ11" s="23"/>
      <c r="AK11" s="23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</row>
    <row r="12" spans="1:50" ht="15" customHeight="1" x14ac:dyDescent="0.25">
      <c r="A12" s="1" t="s">
        <v>3</v>
      </c>
      <c r="B12" s="76">
        <v>-16966.46164558431</v>
      </c>
      <c r="C12" s="76">
        <v>-17402.236563046084</v>
      </c>
      <c r="D12" s="76">
        <v>-17911.178105968484</v>
      </c>
      <c r="E12" s="76">
        <v>-18904.909741949265</v>
      </c>
      <c r="F12" s="76">
        <v>-20351.309000000001</v>
      </c>
      <c r="G12" s="76">
        <v>-21454.594000000001</v>
      </c>
      <c r="H12" s="76">
        <v>-22394.117999999999</v>
      </c>
      <c r="I12" s="76">
        <v>-23468.591999999997</v>
      </c>
      <c r="J12" s="76">
        <v>-24461.913</v>
      </c>
      <c r="K12" s="11">
        <v>-25672.734</v>
      </c>
      <c r="L12" s="76">
        <v>-26935.17</v>
      </c>
      <c r="M12" s="76">
        <v>-29154.77</v>
      </c>
      <c r="N12" s="76">
        <v>-30226.12</v>
      </c>
      <c r="O12" s="11">
        <v>-31073.365999999998</v>
      </c>
      <c r="P12" s="11">
        <v>-32708.533999999996</v>
      </c>
      <c r="Q12" s="11">
        <v>-34299.817999999999</v>
      </c>
      <c r="R12" s="11">
        <v>-35250.923999999999</v>
      </c>
      <c r="S12" s="11">
        <v>-35417.266000000003</v>
      </c>
      <c r="T12" s="11">
        <v>-35105.055999999997</v>
      </c>
      <c r="U12" s="11">
        <v>-35338.686000000002</v>
      </c>
      <c r="V12" s="11">
        <v>-34815.009999999995</v>
      </c>
      <c r="W12" s="35">
        <v>-34934.256999999998</v>
      </c>
      <c r="X12" s="35">
        <v>-36977.461000000003</v>
      </c>
      <c r="Y12" s="11">
        <v>-37511.074999999997</v>
      </c>
      <c r="Z12" s="11">
        <v>-39507.422999999995</v>
      </c>
      <c r="AB12" s="18">
        <f>100*(C12-B12)/B12</f>
        <v>2.5684490176252481</v>
      </c>
      <c r="AC12" s="18">
        <f>100*(D12-C12)/C12</f>
        <v>2.9245754767128282</v>
      </c>
      <c r="AD12" s="18">
        <f>100*(E12-D12)/D12</f>
        <v>5.5481087290938333</v>
      </c>
      <c r="AE12" s="18">
        <f>100*(F12-E12)/E12</f>
        <v>7.6509186121171071</v>
      </c>
      <c r="AF12" s="18">
        <f>100*(G12-F12)/F12</f>
        <v>5.4211991965725632</v>
      </c>
      <c r="AG12" s="18">
        <f>100*(H12-G12)/G12</f>
        <v>4.3791273794321048</v>
      </c>
      <c r="AH12" s="18">
        <f>100*(I12-H12)/H12</f>
        <v>4.7980188369106491</v>
      </c>
      <c r="AI12" s="18">
        <f>100*(J12-I12)/I12</f>
        <v>4.2325547267599335</v>
      </c>
      <c r="AJ12" s="18">
        <f>100*(K12-J12)/J12</f>
        <v>4.9498213815084693</v>
      </c>
      <c r="AK12" s="18">
        <f>100*(L12-K12)/K12</f>
        <v>4.9174193913277717</v>
      </c>
      <c r="AL12" s="49">
        <f>100*(O12-N12)/N12</f>
        <v>2.8030259920889589</v>
      </c>
      <c r="AM12" s="49">
        <f>100*(P12-O12)/O12</f>
        <v>5.2622815307488668</v>
      </c>
      <c r="AN12" s="49">
        <f>100*(Q12-P12)/P12</f>
        <v>4.8650422547216676</v>
      </c>
      <c r="AO12" s="49">
        <f>100*(R12-Q12)/Q12</f>
        <v>2.7729185035325838</v>
      </c>
      <c r="AP12" s="49">
        <f>100*(S12-R12)/R12</f>
        <v>0.47187982930604655</v>
      </c>
      <c r="AQ12" s="49">
        <f>100*(T12-S12)/S12</f>
        <v>-0.88151920026804542</v>
      </c>
      <c r="AR12" s="49">
        <f>100*(U12-T12)/T12</f>
        <v>0.66551667087500066</v>
      </c>
      <c r="AS12" s="49">
        <f>100*(V12-U12)/U12</f>
        <v>-1.4818773963469007</v>
      </c>
      <c r="AT12" s="49">
        <f>100*(W12-V12)/V12</f>
        <v>0.342516058447213</v>
      </c>
      <c r="AU12" s="49">
        <f>100*(X12-W12)/W12</f>
        <v>5.8487117673634943</v>
      </c>
      <c r="AV12" s="49">
        <f>100*(Y12-X12)/X12</f>
        <v>1.4430790691659281</v>
      </c>
      <c r="AW12" s="49">
        <f>100*(Z12-Y12)/Y12</f>
        <v>5.3220228959047384</v>
      </c>
      <c r="AX12" s="49">
        <f t="shared" ref="AX11:AX28" si="1">100*(EXP(LN(Z12/O12)/11)-1)</f>
        <v>2.2070716963455306</v>
      </c>
    </row>
    <row r="13" spans="1:50" s="29" customFormat="1" ht="19.5" customHeight="1" x14ac:dyDescent="0.25">
      <c r="A13" s="29" t="s">
        <v>43</v>
      </c>
      <c r="B13" s="77">
        <f t="shared" ref="B13:I13" si="2">B12+B11</f>
        <v>-16847.889157428945</v>
      </c>
      <c r="C13" s="77">
        <f t="shared" si="2"/>
        <v>-17273.404611376565</v>
      </c>
      <c r="D13" s="77">
        <f t="shared" si="2"/>
        <v>-17744.953268984631</v>
      </c>
      <c r="E13" s="77">
        <f t="shared" si="2"/>
        <v>-18573.629983198025</v>
      </c>
      <c r="F13" s="77">
        <f t="shared" si="2"/>
        <v>-19973.724000000002</v>
      </c>
      <c r="G13" s="77">
        <f t="shared" si="2"/>
        <v>-21053.548000000003</v>
      </c>
      <c r="H13" s="77">
        <f t="shared" si="2"/>
        <v>-21975.237999999998</v>
      </c>
      <c r="I13" s="77">
        <f t="shared" si="2"/>
        <v>-23057.541999999998</v>
      </c>
      <c r="J13" s="77">
        <v>-24097.903000000002</v>
      </c>
      <c r="K13" s="30">
        <v>-25275.377</v>
      </c>
      <c r="L13" s="77">
        <v>-26520.281999999999</v>
      </c>
      <c r="M13" s="77">
        <v>-28666.15</v>
      </c>
      <c r="N13" s="77">
        <v>-29739.544999999998</v>
      </c>
      <c r="O13" s="30">
        <f t="shared" ref="O13:U13" si="3">O12+O11</f>
        <v>-30586.205999999998</v>
      </c>
      <c r="P13" s="30">
        <f t="shared" si="3"/>
        <v>-32079.114999999994</v>
      </c>
      <c r="Q13" s="30">
        <f t="shared" si="3"/>
        <v>-33706.06</v>
      </c>
      <c r="R13" s="30">
        <f t="shared" si="3"/>
        <v>-34666.493999999999</v>
      </c>
      <c r="S13" s="30">
        <f t="shared" si="3"/>
        <v>-34915.346000000005</v>
      </c>
      <c r="T13" s="30">
        <f t="shared" si="3"/>
        <v>-34595.485999999997</v>
      </c>
      <c r="U13" s="30">
        <f t="shared" si="3"/>
        <v>-34892.955999999998</v>
      </c>
      <c r="V13" s="30">
        <f>V12+V11</f>
        <v>-34407.561999999998</v>
      </c>
      <c r="W13" s="30">
        <f t="shared" ref="W13" si="4">W12+W11</f>
        <v>-34622.256999999998</v>
      </c>
      <c r="X13" s="30">
        <f t="shared" ref="X13:Z13" si="5">X12+X11</f>
        <v>-36647.001000000004</v>
      </c>
      <c r="Y13" s="30">
        <f t="shared" si="5"/>
        <v>-37188.174999999996</v>
      </c>
      <c r="Z13" s="30">
        <f t="shared" si="5"/>
        <v>-39265.709999999992</v>
      </c>
      <c r="AA13" s="30">
        <f t="shared" ref="AA13" si="6">AA12+AA11</f>
        <v>0</v>
      </c>
      <c r="AB13" s="30">
        <f t="shared" ref="AB13" si="7">AB12+AB11</f>
        <v>2.5684490176252481</v>
      </c>
      <c r="AC13" s="30">
        <f t="shared" ref="AC13" si="8">AC12+AC11</f>
        <v>2.9245754767128282</v>
      </c>
      <c r="AD13" s="30">
        <f t="shared" ref="AD13" si="9">AD12+AD11</f>
        <v>5.5481087290938333</v>
      </c>
      <c r="AE13" s="30">
        <f t="shared" ref="AE13:AF13" si="10">AE12+AE11</f>
        <v>7.6509186121171071</v>
      </c>
      <c r="AF13" s="30">
        <f t="shared" si="10"/>
        <v>5.4211991965725632</v>
      </c>
      <c r="AG13" s="30">
        <f t="shared" ref="AG13" si="11">AG12+AG11</f>
        <v>4.3791273794321048</v>
      </c>
      <c r="AH13" s="30">
        <f t="shared" ref="AH13" si="12">AH12+AH11</f>
        <v>4.7980188369106491</v>
      </c>
      <c r="AI13" s="30">
        <f t="shared" ref="AI13" si="13">AI12+AI11</f>
        <v>4.2325547267599335</v>
      </c>
      <c r="AJ13" s="30">
        <f t="shared" ref="AJ13" si="14">AJ12+AJ11</f>
        <v>4.9498213815084693</v>
      </c>
      <c r="AK13" s="30">
        <f t="shared" ref="AK13" si="15">AK12+AK11</f>
        <v>4.9174193913277717</v>
      </c>
      <c r="AL13" s="60">
        <f>100*(O13-N13)/N13</f>
        <v>2.8469198166952459</v>
      </c>
      <c r="AM13" s="60">
        <f>100*(P13-O13)/O13</f>
        <v>4.880987854459609</v>
      </c>
      <c r="AN13" s="60">
        <f>100*(Q13-P13)/P13</f>
        <v>5.0716642276446962</v>
      </c>
      <c r="AO13" s="60">
        <f>100*(R13-Q13)/Q13</f>
        <v>2.8494401303504509</v>
      </c>
      <c r="AP13" s="60">
        <f>100*(S13-R13)/R13</f>
        <v>0.7178458831170127</v>
      </c>
      <c r="AQ13" s="60">
        <f>100*(T13-S13)/S13</f>
        <v>-0.91610147583818247</v>
      </c>
      <c r="AR13" s="60">
        <f>100*(U13-T13)/T13</f>
        <v>0.85985206278067949</v>
      </c>
      <c r="AS13" s="60">
        <f>100*(V13-U13)/U13</f>
        <v>-1.3910945234906444</v>
      </c>
      <c r="AT13" s="60">
        <f>100*(W13-V13)/V13</f>
        <v>0.62397620616072635</v>
      </c>
      <c r="AU13" s="60">
        <f>100*(X13-W13)/W13</f>
        <v>5.8480993887833659</v>
      </c>
      <c r="AV13" s="60">
        <f>100*(Y13-X13)/X13</f>
        <v>1.4767211101393856</v>
      </c>
      <c r="AW13" s="60">
        <f>100*(Z13-Y13)/Y13</f>
        <v>5.5865473366197627</v>
      </c>
      <c r="AX13" s="49">
        <f t="shared" si="1"/>
        <v>2.2969137415774554</v>
      </c>
    </row>
    <row r="14" spans="1:50" ht="13.5" x14ac:dyDescent="0.25">
      <c r="A14" s="1"/>
      <c r="B14" s="76"/>
      <c r="C14" s="76"/>
      <c r="D14" s="76"/>
      <c r="E14" s="76"/>
      <c r="F14" s="76"/>
      <c r="G14" s="76"/>
      <c r="H14" s="76"/>
      <c r="I14" s="76"/>
      <c r="J14" s="76"/>
      <c r="K14" s="11"/>
      <c r="L14" s="76"/>
      <c r="M14" s="76"/>
      <c r="N14" s="76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D14" s="23"/>
      <c r="AE14" s="23"/>
      <c r="AF14" s="23"/>
      <c r="AG14" s="23"/>
      <c r="AH14" s="23"/>
      <c r="AI14" s="23"/>
      <c r="AJ14" s="23"/>
      <c r="AK14" s="23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9"/>
    </row>
    <row r="15" spans="1:50" ht="13.5" x14ac:dyDescent="0.25">
      <c r="A15" s="8" t="s">
        <v>4</v>
      </c>
      <c r="B15" s="78">
        <f>B10+B11+B12</f>
        <v>-12658.327909272706</v>
      </c>
      <c r="C15" s="78">
        <f>C10+C11+C12</f>
        <v>-12970.652888711731</v>
      </c>
      <c r="D15" s="78">
        <f t="shared" ref="D15:I15" si="16">D10+D11+D12</f>
        <v>-13347.177049748305</v>
      </c>
      <c r="E15" s="78">
        <f t="shared" si="16"/>
        <v>-14070.176244128139</v>
      </c>
      <c r="F15" s="78">
        <f t="shared" si="16"/>
        <v>-15271.539000000001</v>
      </c>
      <c r="G15" s="78">
        <f t="shared" si="16"/>
        <v>-16064.45</v>
      </c>
      <c r="H15" s="78">
        <f t="shared" si="16"/>
        <v>-16686.374</v>
      </c>
      <c r="I15" s="78">
        <f t="shared" si="16"/>
        <v>-17485.615999999995</v>
      </c>
      <c r="J15" s="78">
        <v>-18394.829000000002</v>
      </c>
      <c r="K15" s="10">
        <v>-19115.714</v>
      </c>
      <c r="L15" s="78">
        <v>-20177.237999999998</v>
      </c>
      <c r="M15" s="78">
        <v>-21935.75</v>
      </c>
      <c r="N15" s="78">
        <v>-22944.170999999998</v>
      </c>
      <c r="O15" s="10">
        <v>-23588.964</v>
      </c>
      <c r="P15" s="10">
        <v>-24839.309999999998</v>
      </c>
      <c r="Q15" s="10">
        <v>-26344.265000000003</v>
      </c>
      <c r="R15" s="10">
        <f>R10+R13</f>
        <v>-27053.866999999998</v>
      </c>
      <c r="S15" s="10">
        <f>S10+S13</f>
        <v>-27313.903000000006</v>
      </c>
      <c r="T15" s="10">
        <f>T10+T13</f>
        <v>-28304.745999999996</v>
      </c>
      <c r="U15" s="10">
        <f>U10+U13</f>
        <v>-28444.569</v>
      </c>
      <c r="V15" s="10">
        <f>V10+V13</f>
        <v>-28124.273999999998</v>
      </c>
      <c r="W15" s="10">
        <f t="shared" ref="W15:Z15" si="17">W10+W13</f>
        <v>-28028.456999999999</v>
      </c>
      <c r="X15" s="10">
        <f t="shared" si="17"/>
        <v>-30356.938000000002</v>
      </c>
      <c r="Y15" s="10">
        <f t="shared" si="17"/>
        <v>-31221.279999999995</v>
      </c>
      <c r="Z15" s="10">
        <f t="shared" si="17"/>
        <v>-32091.975999999991</v>
      </c>
      <c r="AB15" s="24">
        <f>100*(C15-B15)/B15</f>
        <v>2.4673478335968451</v>
      </c>
      <c r="AC15" s="24">
        <f>100*(D15-C15)/C15</f>
        <v>2.9028928941908556</v>
      </c>
      <c r="AD15" s="24">
        <f>100*(E15-D15)/D15</f>
        <v>5.4168697372113463</v>
      </c>
      <c r="AE15" s="24">
        <f>100*(F15-E15)/E15</f>
        <v>8.538363237441482</v>
      </c>
      <c r="AF15" s="24">
        <f>100*(G15-F15)/F15</f>
        <v>5.1920831292772789</v>
      </c>
      <c r="AG15" s="24">
        <f>100*(H15-G15)/G15</f>
        <v>3.8714303944423807</v>
      </c>
      <c r="AH15" s="24">
        <f>100*(I15-H15)/H15</f>
        <v>4.7897883626484381</v>
      </c>
      <c r="AI15" s="24">
        <f>100*(J15-I15)/I15</f>
        <v>5.1997767765230991</v>
      </c>
      <c r="AJ15" s="24">
        <f>100*(K15-J15)/J15</f>
        <v>3.9189546149083436</v>
      </c>
      <c r="AK15" s="24">
        <f>100*(L15-K15)/K15</f>
        <v>5.5531485771339621</v>
      </c>
      <c r="AL15" s="61">
        <f>100*(O15-N15)/N15</f>
        <v>2.8102693272291317</v>
      </c>
      <c r="AM15" s="61">
        <f>100*(P15-O15)/O15</f>
        <v>5.3005549544269845</v>
      </c>
      <c r="AN15" s="61">
        <f>100*(Q15-P15)/P15</f>
        <v>6.0587633070323026</v>
      </c>
      <c r="AO15" s="61">
        <f>100*(R15-Q15)/Q15</f>
        <v>2.6935729655012022</v>
      </c>
      <c r="AP15" s="61">
        <f>100*(S15-R15)/R15</f>
        <v>0.96117867364398346</v>
      </c>
      <c r="AQ15" s="61">
        <f>100*(T15-S15)/S15</f>
        <v>3.6276141128567003</v>
      </c>
      <c r="AR15" s="61">
        <f>100*(U15-T15)/T15</f>
        <v>0.49399136102476943</v>
      </c>
      <c r="AS15" s="61">
        <f>100*(V15-U15)/U15</f>
        <v>-1.1260321785856622</v>
      </c>
      <c r="AT15" s="61">
        <f t="shared" ref="AT15" si="18">100*(W15-V15)/V15</f>
        <v>-0.34069146104891135</v>
      </c>
      <c r="AU15" s="61">
        <f>100*(X15-W15)/W15</f>
        <v>8.3075604197548341</v>
      </c>
      <c r="AV15" s="61">
        <f>100*(Y15-X15)/X15</f>
        <v>2.8472634492977957</v>
      </c>
      <c r="AW15" s="61">
        <f>100*(Z15-Y15)/Y15</f>
        <v>2.7887902097543611</v>
      </c>
      <c r="AX15" s="49">
        <f t="shared" si="1"/>
        <v>2.837951578435649</v>
      </c>
    </row>
    <row r="16" spans="1:50" ht="13.5" x14ac:dyDescent="0.25">
      <c r="A16" s="1"/>
      <c r="B16" s="76"/>
      <c r="C16" s="76"/>
      <c r="D16" s="76"/>
      <c r="E16" s="76"/>
      <c r="F16" s="76"/>
      <c r="G16" s="76"/>
      <c r="H16" s="76"/>
      <c r="I16" s="76"/>
      <c r="J16" s="76"/>
      <c r="K16" s="11"/>
      <c r="L16" s="76"/>
      <c r="M16" s="76"/>
      <c r="N16" s="76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D16" s="23"/>
      <c r="AE16" s="23"/>
      <c r="AF16" s="23"/>
      <c r="AG16" s="23"/>
      <c r="AH16" s="23"/>
      <c r="AI16" s="23"/>
      <c r="AJ16" s="23"/>
      <c r="AK16" s="23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9"/>
    </row>
    <row r="17" spans="1:50" ht="15.75" customHeight="1" x14ac:dyDescent="0.25">
      <c r="A17" s="1" t="s">
        <v>5</v>
      </c>
      <c r="B17" s="76">
        <v>10995.117504494821</v>
      </c>
      <c r="C17" s="76">
        <v>11796.364786157461</v>
      </c>
      <c r="D17" s="76">
        <v>12107.238135603198</v>
      </c>
      <c r="E17" s="76">
        <v>12918.407495799505</v>
      </c>
      <c r="F17" s="76">
        <v>14103.073</v>
      </c>
      <c r="G17" s="76">
        <v>14076.744000000001</v>
      </c>
      <c r="H17" s="76">
        <v>13504.23</v>
      </c>
      <c r="I17" s="76">
        <v>13680.898999999999</v>
      </c>
      <c r="J17" s="76">
        <v>14255.29</v>
      </c>
      <c r="K17" s="11">
        <v>15166.924000000001</v>
      </c>
      <c r="L17" s="76">
        <v>16296.266</v>
      </c>
      <c r="M17" s="76">
        <v>17530.599999999999</v>
      </c>
      <c r="N17" s="76">
        <v>17610.871999999999</v>
      </c>
      <c r="O17" s="11">
        <v>18266.294000000002</v>
      </c>
      <c r="P17" s="11">
        <v>18973.737999999998</v>
      </c>
      <c r="Q17" s="11">
        <v>19228.650999999998</v>
      </c>
      <c r="R17" s="11">
        <v>20550.654000000002</v>
      </c>
      <c r="S17" s="11">
        <v>21068.276999999998</v>
      </c>
      <c r="T17" s="11">
        <v>21662.870999999999</v>
      </c>
      <c r="U17" s="11">
        <v>21987.628999999997</v>
      </c>
      <c r="V17" s="11">
        <v>22434.784999999993</v>
      </c>
      <c r="W17" s="11">
        <v>22321.057000000001</v>
      </c>
      <c r="X17" s="11">
        <v>22912.314999999999</v>
      </c>
      <c r="Y17" s="11">
        <v>23825.588</v>
      </c>
      <c r="Z17" s="11">
        <v>25404.727999999999</v>
      </c>
      <c r="AB17" s="18">
        <f>100*(C17-B17)/B17</f>
        <v>7.2873007617707444</v>
      </c>
      <c r="AC17" s="18">
        <f>100*(D17-C17)/C17</f>
        <v>2.6353317745017026</v>
      </c>
      <c r="AD17" s="18">
        <f>100*(E17-D17)/D17</f>
        <v>6.6998711936699955</v>
      </c>
      <c r="AE17" s="18">
        <f>100*(F17-E17)/E17</f>
        <v>9.1703679775211899</v>
      </c>
      <c r="AF17" s="18">
        <f>100*(G17-F17)/F17</f>
        <v>-0.18668980866793872</v>
      </c>
      <c r="AG17" s="18">
        <f>100*(H17-G17)/G17</f>
        <v>-4.067091082994768</v>
      </c>
      <c r="AH17" s="18">
        <f>100*(I17-H17)/H17</f>
        <v>1.3082493411323701</v>
      </c>
      <c r="AI17" s="18">
        <f>100*(J17-I17)/I17</f>
        <v>4.1984887104275934</v>
      </c>
      <c r="AJ17" s="18">
        <f>100*(K17-J17)/J17</f>
        <v>6.395057554072908</v>
      </c>
      <c r="AK17" s="18">
        <f>100*(L17-K17)/K17</f>
        <v>7.4460846510472303</v>
      </c>
      <c r="AL17" s="49">
        <f>100*(O17-N17)/N17</f>
        <v>3.7216896471679672</v>
      </c>
      <c r="AM17" s="49">
        <f>100*(P17-O17)/O17</f>
        <v>3.8729476269241907</v>
      </c>
      <c r="AN17" s="49">
        <f>100*(Q17-P17)/P17</f>
        <v>1.3435043743093771</v>
      </c>
      <c r="AO17" s="49">
        <f>100*(R17-Q17)/Q17</f>
        <v>6.8751728865431296</v>
      </c>
      <c r="AP17" s="49">
        <f>100*(S17-R17)/R17</f>
        <v>2.5187665560424302</v>
      </c>
      <c r="AQ17" s="49">
        <f>100*(T17-S17)/S17</f>
        <v>2.8222241429614821</v>
      </c>
      <c r="AR17" s="49">
        <f>100*(U17-T17)/T17</f>
        <v>1.4991457041866612</v>
      </c>
      <c r="AS17" s="49">
        <f>100*(V17-U17)/U17</f>
        <v>2.0336708428180024</v>
      </c>
      <c r="AT17" s="49">
        <f t="shared" ref="AT17:AT18" si="19">100*(W17-V17)/V17</f>
        <v>-0.5069270777499848</v>
      </c>
      <c r="AU17" s="49">
        <f>100*(X17-W17)/W17</f>
        <v>2.6488799343149294</v>
      </c>
      <c r="AV17" s="49">
        <f>100*(Y17-X17)/X17</f>
        <v>3.9859481680484974</v>
      </c>
      <c r="AW17" s="49">
        <f>100*(Z17-Y17)/Y17</f>
        <v>6.6279161714707708</v>
      </c>
      <c r="AX17" s="49">
        <f t="shared" si="1"/>
        <v>3.044308611844837</v>
      </c>
    </row>
    <row r="18" spans="1:50" ht="15.75" customHeight="1" x14ac:dyDescent="0.25">
      <c r="A18" s="1" t="s">
        <v>6</v>
      </c>
      <c r="B18" s="76">
        <v>3329.2800043056109</v>
      </c>
      <c r="C18" s="76">
        <v>3183.6292599899421</v>
      </c>
      <c r="D18" s="76">
        <v>3193.0531658854334</v>
      </c>
      <c r="E18" s="76">
        <v>3350.3431874639446</v>
      </c>
      <c r="F18" s="76">
        <v>3667.04</v>
      </c>
      <c r="G18" s="76">
        <v>3892.3040000000001</v>
      </c>
      <c r="H18" s="76">
        <v>4289.2039999999997</v>
      </c>
      <c r="I18" s="76">
        <v>4735.3869999999997</v>
      </c>
      <c r="J18" s="76">
        <v>5067.9170000000004</v>
      </c>
      <c r="K18" s="11">
        <v>5496.6490000000003</v>
      </c>
      <c r="L18" s="76">
        <v>5756.6090000000004</v>
      </c>
      <c r="M18" s="76">
        <v>6426</v>
      </c>
      <c r="N18" s="76">
        <v>6910.41</v>
      </c>
      <c r="O18" s="11">
        <v>7394.8449999999993</v>
      </c>
      <c r="P18" s="11">
        <v>7621.8410000000003</v>
      </c>
      <c r="Q18" s="11">
        <v>8031.5410000000002</v>
      </c>
      <c r="R18" s="11">
        <v>8252.6789999999983</v>
      </c>
      <c r="S18" s="11">
        <v>8160.9970000000003</v>
      </c>
      <c r="T18" s="11">
        <v>8196.3220000000001</v>
      </c>
      <c r="U18" s="11">
        <v>8792.023000000001</v>
      </c>
      <c r="V18" s="11">
        <v>8503.5540000000074</v>
      </c>
      <c r="W18" s="11">
        <v>8457.0580000000009</v>
      </c>
      <c r="X18" s="11">
        <v>8640.7950000000001</v>
      </c>
      <c r="Y18" s="11">
        <v>11005.673000000001</v>
      </c>
      <c r="Z18" s="11">
        <v>10066.06</v>
      </c>
      <c r="AB18" s="18">
        <f>100*(C18-B18)/B18</f>
        <v>-4.3748421318514854</v>
      </c>
      <c r="AC18" s="18">
        <f>100*(D18-C18)/C18</f>
        <v>0.29601141106238887</v>
      </c>
      <c r="AD18" s="18">
        <f>100*(E18-D18)/D18</f>
        <v>4.9260069722294988</v>
      </c>
      <c r="AE18" s="18">
        <f>100*(F18-E18)/E18</f>
        <v>9.4526678258229513</v>
      </c>
      <c r="AF18" s="18">
        <f>100*(G18-F18)/F18</f>
        <v>6.1429381735677859</v>
      </c>
      <c r="AG18" s="18">
        <f>100*(H18-G18)/G18</f>
        <v>10.197045246208919</v>
      </c>
      <c r="AH18" s="18">
        <f>100*(I18-H18)/H18</f>
        <v>10.402466285119571</v>
      </c>
      <c r="AI18" s="18">
        <f>100*(J18-I18)/I18</f>
        <v>7.0222349303235552</v>
      </c>
      <c r="AJ18" s="18">
        <f>100*(K18-J18)/J18</f>
        <v>8.4597281289334436</v>
      </c>
      <c r="AK18" s="18">
        <f>100*(L18-K18)/K18</f>
        <v>4.7294269654111085</v>
      </c>
      <c r="AL18" s="49">
        <f>100*(O18-N18)/N18</f>
        <v>7.0102208117897415</v>
      </c>
      <c r="AM18" s="49">
        <f>100*(P18-O18)/O18</f>
        <v>3.0696518993974995</v>
      </c>
      <c r="AN18" s="49">
        <f>100*(Q18-P18)/P18</f>
        <v>5.3753417317417123</v>
      </c>
      <c r="AO18" s="49">
        <f>100*(R18-Q18)/Q18</f>
        <v>2.7533694965884892</v>
      </c>
      <c r="AP18" s="49">
        <f>100*(S18-R18)/R18</f>
        <v>-1.1109362184085676</v>
      </c>
      <c r="AQ18" s="49">
        <f>100*(T18-S18)/S18</f>
        <v>0.43285152537122384</v>
      </c>
      <c r="AR18" s="49">
        <f>100*(U18-T18)/T18</f>
        <v>7.2679062633215352</v>
      </c>
      <c r="AS18" s="49">
        <f>100*(V18-U18)/U18</f>
        <v>-3.2810309982127395</v>
      </c>
      <c r="AT18" s="49">
        <f t="shared" si="19"/>
        <v>-0.54678314502390912</v>
      </c>
      <c r="AU18" s="49">
        <f>100*(X18-W18)/W18</f>
        <v>2.172587677653377</v>
      </c>
      <c r="AV18" s="49">
        <f>100*(Y18-X18)/X18</f>
        <v>27.368754842581041</v>
      </c>
      <c r="AW18" s="49">
        <f>100*(Z18-Y18)/Y18</f>
        <v>-8.5375333248589271</v>
      </c>
      <c r="AX18" s="49">
        <f t="shared" si="1"/>
        <v>2.8431794193192861</v>
      </c>
    </row>
    <row r="19" spans="1:50" ht="15.75" customHeight="1" x14ac:dyDescent="0.25">
      <c r="A19" s="1"/>
      <c r="B19" s="76">
        <v>-695.62526384480964</v>
      </c>
      <c r="C19" s="76">
        <v>-750.11815201833917</v>
      </c>
      <c r="D19" s="76">
        <v>-771.32782686062092</v>
      </c>
      <c r="E19" s="76">
        <v>-815.66939635671315</v>
      </c>
      <c r="F19" s="76">
        <v>-881.46699999999998</v>
      </c>
      <c r="G19" s="76"/>
      <c r="H19" s="76"/>
      <c r="I19" s="76"/>
      <c r="J19" s="76"/>
      <c r="K19" s="11"/>
      <c r="L19" s="76"/>
      <c r="M19" s="76"/>
      <c r="N19" s="76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D19" s="23"/>
      <c r="AE19" s="23"/>
      <c r="AF19" s="23"/>
      <c r="AG19" s="23"/>
      <c r="AH19" s="23"/>
      <c r="AI19" s="23"/>
      <c r="AJ19" s="23"/>
      <c r="AK19" s="23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9"/>
    </row>
    <row r="20" spans="1:50" ht="15.75" customHeight="1" x14ac:dyDescent="0.25">
      <c r="A20" s="1" t="s">
        <v>8</v>
      </c>
      <c r="B20" s="76"/>
      <c r="C20" s="76"/>
      <c r="D20" s="76"/>
      <c r="E20" s="76"/>
      <c r="F20" s="76"/>
      <c r="G20" s="76"/>
      <c r="H20" s="76"/>
      <c r="I20" s="76"/>
      <c r="J20" s="76"/>
      <c r="K20" s="11"/>
      <c r="L20" s="76"/>
      <c r="M20" s="76"/>
      <c r="N20" s="7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D20" s="23"/>
      <c r="AE20" s="23"/>
      <c r="AF20" s="23"/>
      <c r="AG20" s="23"/>
      <c r="AH20" s="23"/>
      <c r="AI20" s="23"/>
      <c r="AJ20" s="23"/>
      <c r="AK20" s="23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9"/>
    </row>
    <row r="21" spans="1:50" ht="15.75" customHeight="1" x14ac:dyDescent="0.25">
      <c r="A21" s="1" t="s">
        <v>9</v>
      </c>
      <c r="B21" s="76">
        <v>246.39531226611365</v>
      </c>
      <c r="C21" s="76">
        <v>225.8763852378093</v>
      </c>
      <c r="D21" s="76">
        <v>198.18727052859782</v>
      </c>
      <c r="E21" s="76">
        <v>226.60396620768182</v>
      </c>
      <c r="F21" s="76">
        <v>234.37299999999999</v>
      </c>
      <c r="G21" s="76">
        <v>173.24</v>
      </c>
      <c r="H21" s="76">
        <v>165.68299999999999</v>
      </c>
      <c r="I21" s="76">
        <v>143.56399999999999</v>
      </c>
      <c r="J21" s="76">
        <v>147.459</v>
      </c>
      <c r="K21" s="11">
        <v>187.91399999999999</v>
      </c>
      <c r="L21" s="76">
        <v>237.21600000000001</v>
      </c>
      <c r="M21" s="76">
        <v>261</v>
      </c>
      <c r="N21" s="76">
        <v>193.673</v>
      </c>
      <c r="O21" s="11">
        <v>226.28700000000001</v>
      </c>
      <c r="P21" s="11">
        <v>251.22200000000001</v>
      </c>
      <c r="Q21" s="11">
        <v>220.46100000000001</v>
      </c>
      <c r="R21" s="11">
        <v>205.24</v>
      </c>
      <c r="S21" s="11">
        <v>200.73</v>
      </c>
      <c r="T21" s="11">
        <v>251.40600000000001</v>
      </c>
      <c r="U21" s="11">
        <v>246.11</v>
      </c>
      <c r="V21" s="11">
        <v>247.85799999999992</v>
      </c>
      <c r="W21" s="11">
        <v>243.375</v>
      </c>
      <c r="X21" s="11">
        <v>232.42699999999999</v>
      </c>
      <c r="Y21" s="11">
        <v>222.749</v>
      </c>
      <c r="Z21" s="11">
        <v>223.28200000000001</v>
      </c>
      <c r="AB21" s="18">
        <f>100*(C21-B21)/B21</f>
        <v>-8.3276450511945406</v>
      </c>
      <c r="AC21" s="18">
        <f>100*(D21-C21)/C21</f>
        <v>-12.258525688756514</v>
      </c>
      <c r="AD21" s="18">
        <f>100*(E21-D21)/D21</f>
        <v>14.338305181403443</v>
      </c>
      <c r="AE21" s="18">
        <f>100*(F21-E21)/E21</f>
        <v>3.4284632887660376</v>
      </c>
      <c r="AF21" s="18">
        <f>100*(G21-F21)/F21</f>
        <v>-26.083635913693126</v>
      </c>
      <c r="AG21" s="18">
        <f>100*(H21-G21)/G21</f>
        <v>-4.3621565458323808</v>
      </c>
      <c r="AH21" s="18">
        <f>100*(I21-H21)/H21</f>
        <v>-13.350192838130647</v>
      </c>
      <c r="AI21" s="18">
        <f>100*(J21-I21)/I21</f>
        <v>2.713075701429335</v>
      </c>
      <c r="AJ21" s="18">
        <f>100*(K21-J21)/J21</f>
        <v>27.434744573067753</v>
      </c>
      <c r="AK21" s="18">
        <f>100*(L21-K21)/K21</f>
        <v>26.236469874517081</v>
      </c>
      <c r="AL21" s="49">
        <f>100*(O21-N21)/N21</f>
        <v>16.839724690586714</v>
      </c>
      <c r="AM21" s="49">
        <f>100*(P21-O21)/O21</f>
        <v>11.019192441457088</v>
      </c>
      <c r="AN21" s="49">
        <f>100*(Q21-P21)/P21</f>
        <v>-12.244548646217288</v>
      </c>
      <c r="AO21" s="49">
        <f>100*(R21-Q21)/Q21</f>
        <v>-6.9041689913408737</v>
      </c>
      <c r="AP21" s="49">
        <f>100*(S21-R21)/R21</f>
        <v>-2.1974274020658835</v>
      </c>
      <c r="AQ21" s="49">
        <f>100*(T21-S21)/S21</f>
        <v>25.245852637871774</v>
      </c>
      <c r="AR21" s="49">
        <f>100*(U21-T21)/T21</f>
        <v>-2.1065527473489065</v>
      </c>
      <c r="AS21" s="49">
        <f>100*(V21-U21)/U21</f>
        <v>0.71025151355081273</v>
      </c>
      <c r="AT21" s="49">
        <f t="shared" ref="AT21" si="20">100*(W21-V21)/V21</f>
        <v>-1.8086969151691372</v>
      </c>
      <c r="AU21" s="49">
        <f>100*(X21-W21)/W21</f>
        <v>-4.4984078068823861</v>
      </c>
      <c r="AV21" s="49">
        <f>100*(Y21-X21)/X21</f>
        <v>-4.1638880164524767</v>
      </c>
      <c r="AW21" s="49">
        <f>100*(Z21-Y21)/Y21</f>
        <v>0.23928278016961488</v>
      </c>
      <c r="AX21" s="49">
        <f t="shared" si="1"/>
        <v>-0.12145852998524109</v>
      </c>
    </row>
    <row r="22" spans="1:50" ht="15.75" customHeight="1" x14ac:dyDescent="0.25">
      <c r="A22" s="1" t="s">
        <v>10</v>
      </c>
      <c r="B22" s="76">
        <v>123.44993802274909</v>
      </c>
      <c r="C22" s="76">
        <v>148.84631491843726</v>
      </c>
      <c r="D22" s="76">
        <v>200.44452068963776</v>
      </c>
      <c r="E22" s="76">
        <v>141.5123121971566</v>
      </c>
      <c r="F22" s="76">
        <v>144.45699999999999</v>
      </c>
      <c r="G22" s="76">
        <v>162.428</v>
      </c>
      <c r="H22" s="76">
        <v>178.50700000000001</v>
      </c>
      <c r="I22" s="76">
        <v>233.678</v>
      </c>
      <c r="J22" s="76">
        <v>260.85300000000001</v>
      </c>
      <c r="K22" s="11">
        <v>263.55700000000002</v>
      </c>
      <c r="L22" s="76">
        <v>283.11500000000001</v>
      </c>
      <c r="M22" s="76">
        <v>257.07</v>
      </c>
      <c r="N22" s="76">
        <v>318.32500000000005</v>
      </c>
      <c r="O22" s="11">
        <v>305.7</v>
      </c>
      <c r="P22" s="11">
        <v>290.01900000000001</v>
      </c>
      <c r="Q22" s="11">
        <v>367.80099999999999</v>
      </c>
      <c r="R22" s="11">
        <v>349.74</v>
      </c>
      <c r="S22" s="11">
        <v>329.69</v>
      </c>
      <c r="T22" s="11">
        <v>360.14699999999999</v>
      </c>
      <c r="U22" s="11">
        <v>334.4</v>
      </c>
      <c r="V22" s="11">
        <v>404.84099999999989</v>
      </c>
      <c r="W22" s="11">
        <v>394.702</v>
      </c>
      <c r="X22" s="11">
        <v>522.34799999999996</v>
      </c>
      <c r="Y22" s="11">
        <v>470.70800000000003</v>
      </c>
      <c r="Z22" s="11">
        <v>535.452</v>
      </c>
      <c r="AD22" s="23"/>
      <c r="AE22" s="23"/>
      <c r="AF22" s="23"/>
      <c r="AG22" s="23"/>
      <c r="AH22" s="23"/>
      <c r="AI22" s="23"/>
      <c r="AJ22" s="23"/>
      <c r="AK22" s="23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9">
        <f t="shared" si="1"/>
        <v>5.227573316159706</v>
      </c>
    </row>
    <row r="23" spans="1:50" ht="15.75" customHeight="1" x14ac:dyDescent="0.25">
      <c r="A23" s="1" t="s">
        <v>11</v>
      </c>
      <c r="B23" s="76">
        <v>-252.11370176580502</v>
      </c>
      <c r="C23" s="76">
        <v>-229.57651961996257</v>
      </c>
      <c r="D23" s="76">
        <v>-190.65598336957783</v>
      </c>
      <c r="E23" s="76">
        <v>-204.30325628644422</v>
      </c>
      <c r="F23" s="76">
        <v>-220.946</v>
      </c>
      <c r="G23" s="76">
        <v>-186.167</v>
      </c>
      <c r="H23" s="76">
        <v>-168.96700000000001</v>
      </c>
      <c r="I23" s="76">
        <v>-173.24799999999999</v>
      </c>
      <c r="J23" s="76">
        <v>-193.43299999999999</v>
      </c>
      <c r="K23" s="11">
        <v>-247.09399999999999</v>
      </c>
      <c r="L23" s="76">
        <v>-330.53300000000002</v>
      </c>
      <c r="M23" s="76">
        <v>-387</v>
      </c>
      <c r="N23" s="76">
        <v>-261.59899999999999</v>
      </c>
      <c r="O23" s="11">
        <v>-211.06399999999999</v>
      </c>
      <c r="P23" s="11">
        <v>-257.48599999999999</v>
      </c>
      <c r="Q23" s="11">
        <v>-236.68700000000001</v>
      </c>
      <c r="R23" s="11">
        <v>-201.29</v>
      </c>
      <c r="S23" s="11">
        <v>-215.88</v>
      </c>
      <c r="T23" s="11">
        <v>-194.452</v>
      </c>
      <c r="U23" s="11">
        <v>-177.27</v>
      </c>
      <c r="V23" s="11">
        <v>-170.346</v>
      </c>
      <c r="W23" s="11">
        <v>-165.87799999999999</v>
      </c>
      <c r="X23" s="11">
        <v>-163.63200000000001</v>
      </c>
      <c r="Y23" s="11">
        <v>-164.607</v>
      </c>
      <c r="Z23" s="11">
        <v>-162.08699999999999</v>
      </c>
      <c r="AB23" s="18">
        <f>100*(C23-B23)/B23</f>
        <v>-8.9392928619079299</v>
      </c>
      <c r="AC23" s="18">
        <f>100*(D23-C23)/C23</f>
        <v>-16.953186813186818</v>
      </c>
      <c r="AD23" s="18">
        <f>100*(E23-D23)/D23</f>
        <v>7.1580616960820951</v>
      </c>
      <c r="AE23" s="18">
        <f>100*(F23-E23)/E23</f>
        <v>8.1460981171155424</v>
      </c>
      <c r="AF23" s="18">
        <f>100*(G23-F23)/F23</f>
        <v>-15.740950277443355</v>
      </c>
      <c r="AG23" s="18">
        <f>100*(H23-G23)/G23</f>
        <v>-9.2390165818861494</v>
      </c>
      <c r="AH23" s="18">
        <f>100*(I23-H23)/H23</f>
        <v>2.5336308273212977</v>
      </c>
      <c r="AI23" s="18">
        <f>100*(J23-I23)/I23</f>
        <v>11.650928149242706</v>
      </c>
      <c r="AJ23" s="18">
        <f>100*(K23-J23)/J23</f>
        <v>27.74138849110545</v>
      </c>
      <c r="AK23" s="18">
        <f>100*(L23-K23)/K23</f>
        <v>33.768120634252561</v>
      </c>
      <c r="AL23" s="49">
        <f>100*(O23-N23)/N23</f>
        <v>-19.317734395009158</v>
      </c>
      <c r="AM23" s="49">
        <f>100*(P23-O23)/O23</f>
        <v>21.994276617518857</v>
      </c>
      <c r="AN23" s="49">
        <f>100*(Q23-P23)/P23</f>
        <v>-8.0777207304474725</v>
      </c>
      <c r="AO23" s="49">
        <f>100*(R23-Q23)/Q23</f>
        <v>-14.955193990375482</v>
      </c>
      <c r="AP23" s="49">
        <f>100*(S23-R23)/R23</f>
        <v>7.2482487952705075</v>
      </c>
      <c r="AQ23" s="49">
        <f>100*(T23-S23)/S23</f>
        <v>-9.925884750787473</v>
      </c>
      <c r="AR23" s="49">
        <f>100*(U23-T23)/T23</f>
        <v>-8.8361137967210368</v>
      </c>
      <c r="AS23" s="49">
        <f>100*(V23-U23)/U23</f>
        <v>-3.9059062447114608</v>
      </c>
      <c r="AT23" s="49">
        <f t="shared" ref="AT23" si="21">100*(W23-V23)/V23</f>
        <v>-2.6228969274300646</v>
      </c>
      <c r="AU23" s="49">
        <f>100*(X23-W23)/W23</f>
        <v>-1.3540071618900524</v>
      </c>
      <c r="AV23" s="49">
        <f>100*(Y23-X23)/X23</f>
        <v>0.59584922264593376</v>
      </c>
      <c r="AW23" s="49">
        <f>100*(Z23-Y23)/Y23</f>
        <v>-1.5309190982157566</v>
      </c>
      <c r="AX23" s="49">
        <f t="shared" si="1"/>
        <v>-2.3716791030545914</v>
      </c>
    </row>
    <row r="24" spans="1:50" ht="15.75" customHeight="1" x14ac:dyDescent="0.25">
      <c r="A24" s="1" t="s">
        <v>12</v>
      </c>
      <c r="B24" s="76">
        <v>-107.47208500890555</v>
      </c>
      <c r="C24" s="76">
        <v>-129.16832752244048</v>
      </c>
      <c r="D24" s="76">
        <v>-62.369128769722131</v>
      </c>
      <c r="E24" s="76">
        <v>-52.54577654888466</v>
      </c>
      <c r="F24" s="76">
        <v>-54.036999999999999</v>
      </c>
      <c r="G24" s="76">
        <v>-72.593000000000004</v>
      </c>
      <c r="H24" s="76">
        <v>-29.038</v>
      </c>
      <c r="I24" s="76">
        <v>-27.561</v>
      </c>
      <c r="J24" s="76">
        <v>-21.423999999999999</v>
      </c>
      <c r="K24" s="11">
        <v>-24.934999999999999</v>
      </c>
      <c r="L24" s="76">
        <v>-40.755000000000003</v>
      </c>
      <c r="M24" s="76">
        <v>-216</v>
      </c>
      <c r="N24" s="76">
        <v>-10.41</v>
      </c>
      <c r="O24" s="11">
        <v>-36.493000000000002</v>
      </c>
      <c r="P24" s="11">
        <v>-98.230999999999995</v>
      </c>
      <c r="Q24" s="11">
        <v>-44.548999999999999</v>
      </c>
      <c r="R24" s="11">
        <v>-40.42</v>
      </c>
      <c r="S24" s="11">
        <v>-34.58</v>
      </c>
      <c r="T24" s="11">
        <v>-75.688999999999993</v>
      </c>
      <c r="U24" s="11">
        <v>-42.1</v>
      </c>
      <c r="V24" s="11">
        <v>-29.343</v>
      </c>
      <c r="W24" s="11">
        <v>-82.245999999999995</v>
      </c>
      <c r="X24" s="11">
        <v>-39.701000000000001</v>
      </c>
      <c r="Y24" s="11">
        <v>-65.844999999999999</v>
      </c>
      <c r="Z24" s="11">
        <v>-26.861000000000001</v>
      </c>
      <c r="AD24" s="23"/>
      <c r="AE24" s="23"/>
      <c r="AF24" s="23"/>
      <c r="AG24" s="23"/>
      <c r="AH24" s="23"/>
      <c r="AI24" s="23"/>
      <c r="AJ24" s="23"/>
      <c r="AK24" s="23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9">
        <f t="shared" si="1"/>
        <v>-2.7474166742025408</v>
      </c>
    </row>
    <row r="25" spans="1:50" ht="13.5" x14ac:dyDescent="0.25">
      <c r="A25" s="1"/>
      <c r="B25" s="76"/>
      <c r="C25" s="76"/>
      <c r="D25" s="76"/>
      <c r="E25" s="76"/>
      <c r="F25" s="76"/>
      <c r="G25" s="76"/>
      <c r="H25" s="76"/>
      <c r="I25" s="76"/>
      <c r="J25" s="76"/>
      <c r="K25" s="11"/>
      <c r="L25" s="76"/>
      <c r="M25" s="76"/>
      <c r="N25" s="76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D25" s="23"/>
      <c r="AE25" s="23"/>
      <c r="AF25" s="23"/>
      <c r="AG25" s="23"/>
      <c r="AH25" s="23"/>
      <c r="AI25" s="23"/>
      <c r="AJ25" s="23"/>
      <c r="AK25" s="23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9"/>
    </row>
    <row r="26" spans="1:50" ht="13.5" x14ac:dyDescent="0.25">
      <c r="A26" s="8" t="s">
        <v>13</v>
      </c>
      <c r="B26" s="78">
        <f t="shared" ref="B26:G26" si="22">B15+B17+B18+B21+B22+B23+B24+B19</f>
        <v>980.70379919706863</v>
      </c>
      <c r="C26" s="78">
        <f t="shared" si="22"/>
        <v>1275.2008584311761</v>
      </c>
      <c r="D26" s="78">
        <f t="shared" si="22"/>
        <v>1327.3931039586414</v>
      </c>
      <c r="E26" s="78">
        <f t="shared" si="22"/>
        <v>1494.1722883481075</v>
      </c>
      <c r="F26" s="78">
        <f t="shared" si="22"/>
        <v>1720.9539999999997</v>
      </c>
      <c r="G26" s="78">
        <f t="shared" si="22"/>
        <v>1981.5059999999996</v>
      </c>
      <c r="H26" s="78">
        <f>H15+H17+H18+H21+H22+H23+H24</f>
        <v>1253.2449999999994</v>
      </c>
      <c r="I26" s="78">
        <f>I15+I17+I18+I21+I22+I23+I24</f>
        <v>1107.1030000000048</v>
      </c>
      <c r="J26" s="78">
        <v>1121.8329999999999</v>
      </c>
      <c r="K26" s="10">
        <v>1727.3010000000013</v>
      </c>
      <c r="L26" s="78">
        <v>2024.6800000000026</v>
      </c>
      <c r="M26" s="78">
        <v>1935.9199999999987</v>
      </c>
      <c r="N26" s="78">
        <v>1817.1000000000008</v>
      </c>
      <c r="O26" s="10">
        <v>2480.4079999999999</v>
      </c>
      <c r="P26" s="10">
        <v>2073.4280000000017</v>
      </c>
      <c r="Q26" s="10">
        <v>1352.8159999999953</v>
      </c>
      <c r="R26" s="10">
        <f>R15+R17+R18+R21+R22+R23+R24</f>
        <v>2062.7360000000022</v>
      </c>
      <c r="S26" s="10">
        <f>S15+S17+S18+S21+S22+S23+S24</f>
        <v>2195.3309999999929</v>
      </c>
      <c r="T26" s="10">
        <f>T15+T17+T18+T21+T22+T23+T24</f>
        <v>1895.8590000000036</v>
      </c>
      <c r="U26" s="10">
        <f>U15+U17+U18+U21+U22+U23+U24</f>
        <v>2696.222999999999</v>
      </c>
      <c r="V26" s="10">
        <f>V15+V17+V18+V21+V22+V23+V24</f>
        <v>3267.0750000000021</v>
      </c>
      <c r="W26" s="10">
        <f t="shared" ref="W26" si="23">W15+W17+W18+W21+W22+W23+W24</f>
        <v>3139.6110000000031</v>
      </c>
      <c r="X26" s="10">
        <f>X15+X17+X18+X21+X22+X23+X24</f>
        <v>1747.6139999999966</v>
      </c>
      <c r="Y26" s="10">
        <f>Y15+Y17+Y18+Y21+Y22+Y23+Y24</f>
        <v>4072.9860000000049</v>
      </c>
      <c r="Z26" s="10">
        <f>Z15+Z17+Z18+Z21+Z22+Z23+Z24</f>
        <v>3948.5980000000077</v>
      </c>
      <c r="AB26" s="24">
        <f>100*(C26-B26)/B26</f>
        <v>30.029154518950676</v>
      </c>
      <c r="AC26" s="24">
        <f>100*(D26-C26)/C26</f>
        <v>4.0928646795043031</v>
      </c>
      <c r="AD26" s="24">
        <f>100*(E26-D26)/D26</f>
        <v>12.564415461560403</v>
      </c>
      <c r="AE26" s="24">
        <f>100*(F26-E26)/E26</f>
        <v>15.177748471202898</v>
      </c>
      <c r="AF26" s="24">
        <f>100*(G26-F26)/F26</f>
        <v>15.139974688457677</v>
      </c>
      <c r="AG26" s="24">
        <f>100*(H26-G26)/G26</f>
        <v>-36.752904104252039</v>
      </c>
      <c r="AH26" s="24">
        <f>100*(I26-H26)/H26</f>
        <v>-11.661087816029161</v>
      </c>
      <c r="AI26" s="24">
        <f>100*(J26-I26)/I26</f>
        <v>1.3304995108851616</v>
      </c>
      <c r="AJ26" s="24">
        <f>100*(K26-J26)/J26</f>
        <v>53.971313020743864</v>
      </c>
      <c r="AK26" s="24">
        <f>100*(L26-K26)/K26</f>
        <v>17.216397142131047</v>
      </c>
      <c r="AL26" s="61">
        <f>100*(O26-N26)/N26</f>
        <v>36.503659677508047</v>
      </c>
      <c r="AM26" s="61">
        <f>100*(P26-O26)/O26</f>
        <v>-16.407784525771493</v>
      </c>
      <c r="AN26" s="61">
        <f>100*(Q26-P26)/P26</f>
        <v>-34.754618920937013</v>
      </c>
      <c r="AO26" s="61">
        <f>100*(R26-Q26)/Q26</f>
        <v>52.477203108183915</v>
      </c>
      <c r="AP26" s="61">
        <f>100*(S26-R26)/R26</f>
        <v>6.4281129528931755</v>
      </c>
      <c r="AQ26" s="61">
        <f>100*(T26-S26)/S26</f>
        <v>-13.641314225508147</v>
      </c>
      <c r="AR26" s="61">
        <f>100*(U26-T26)/T26</f>
        <v>42.2164306522792</v>
      </c>
      <c r="AS26" s="61">
        <f>100*(V26-U26)/U26</f>
        <v>21.172284339982383</v>
      </c>
      <c r="AT26" s="61">
        <f t="shared" ref="AT26" si="24">100*(W26-V26)/V26</f>
        <v>-3.9014714997359703</v>
      </c>
      <c r="AU26" s="61">
        <f>100*(X26-W26)/W26</f>
        <v>-44.336607305809707</v>
      </c>
      <c r="AV26" s="61">
        <f>100*(Y26-X26)/X26</f>
        <v>133.05981755696698</v>
      </c>
      <c r="AW26" s="61">
        <f>100*(Z26-Y26)/Y26</f>
        <v>-3.0539756336014179</v>
      </c>
      <c r="AX26" s="49">
        <f t="shared" si="1"/>
        <v>4.3173017727913932</v>
      </c>
    </row>
    <row r="27" spans="1:50" ht="13.5" x14ac:dyDescent="0.25">
      <c r="A27" s="1"/>
      <c r="B27" s="76"/>
      <c r="C27" s="76"/>
      <c r="D27" s="76"/>
      <c r="E27" s="76"/>
      <c r="F27" s="76"/>
      <c r="G27" s="76"/>
      <c r="H27" s="76"/>
      <c r="I27" s="76"/>
      <c r="J27" s="76"/>
      <c r="K27" s="11"/>
      <c r="L27" s="76"/>
      <c r="M27" s="76"/>
      <c r="N27" s="76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D27" s="23"/>
      <c r="AE27" s="23"/>
      <c r="AF27" s="23"/>
      <c r="AG27" s="23"/>
      <c r="AH27" s="23"/>
      <c r="AI27" s="23"/>
      <c r="AJ27" s="23"/>
      <c r="AK27" s="23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9"/>
    </row>
    <row r="28" spans="1:50" ht="15" customHeight="1" x14ac:dyDescent="0.25">
      <c r="A28" s="1" t="s">
        <v>14</v>
      </c>
      <c r="B28" s="76">
        <v>-1044.1106474730605</v>
      </c>
      <c r="C28" s="76">
        <v>-1160.7015454788561</v>
      </c>
      <c r="D28" s="76">
        <v>-1160.7015454788561</v>
      </c>
      <c r="E28" s="76">
        <v>-1196.4270156902517</v>
      </c>
      <c r="F28" s="76">
        <v>-1214.991</v>
      </c>
      <c r="G28" s="76">
        <v>-1306.2040000000002</v>
      </c>
      <c r="H28" s="76">
        <v>-1339.2380000000001</v>
      </c>
      <c r="I28" s="76">
        <v>-1404.452</v>
      </c>
      <c r="J28" s="76">
        <v>-1454.3789999999999</v>
      </c>
      <c r="K28" s="11">
        <v>-1463.422</v>
      </c>
      <c r="L28" s="76">
        <v>-1501.2349999999999</v>
      </c>
      <c r="M28" s="76">
        <v>-1578.3</v>
      </c>
      <c r="N28" s="76">
        <v>-1668.1889999999999</v>
      </c>
      <c r="O28" s="11">
        <v>-1696.2280000000001</v>
      </c>
      <c r="P28" s="11">
        <v>-1745.335</v>
      </c>
      <c r="Q28" s="11">
        <v>-1892.0920000000001</v>
      </c>
      <c r="R28" s="11">
        <v>-2058.4839999999999</v>
      </c>
      <c r="S28" s="11">
        <v>-2065.3740000000003</v>
      </c>
      <c r="T28" s="11">
        <v>-2081.9110000000001</v>
      </c>
      <c r="U28" s="11">
        <v>-2114.6570000000002</v>
      </c>
      <c r="V28" s="11">
        <v>-2195.625</v>
      </c>
      <c r="W28" s="11">
        <v>-2192.453</v>
      </c>
      <c r="X28" s="11">
        <v>-2305.7249999999999</v>
      </c>
      <c r="Y28" s="11">
        <v>-2397.5250000000001</v>
      </c>
      <c r="Z28" s="11">
        <v>-2404.6149999999998</v>
      </c>
      <c r="AB28" s="18">
        <f>100*(C28-B28)/B28</f>
        <v>11.166527061855664</v>
      </c>
      <c r="AC28" s="18">
        <f>100*(D28-C28)/C28</f>
        <v>0</v>
      </c>
      <c r="AD28" s="18">
        <f>100*(E28-D28)/D28</f>
        <v>3.077920448245524</v>
      </c>
      <c r="AE28" s="18">
        <f>100*(F28-E28)/E28</f>
        <v>1.5516186166222807</v>
      </c>
      <c r="AF28" s="18">
        <f>100*(G28-F28)/F28</f>
        <v>7.5072984079717626</v>
      </c>
      <c r="AG28" s="18">
        <f>100*(H28-G28)/G28</f>
        <v>2.5290077200804677</v>
      </c>
      <c r="AH28" s="18">
        <f>100*(I28-H28)/H28</f>
        <v>4.8694854835361552</v>
      </c>
      <c r="AI28" s="18">
        <f>100*(J28-I28)/I28</f>
        <v>3.5549096729542846</v>
      </c>
      <c r="AJ28" s="18">
        <f>100*(K28-J28)/J28</f>
        <v>0.62177740465175313</v>
      </c>
      <c r="AK28" s="18">
        <f>100*(L28-K28)/K28</f>
        <v>2.5838753278275082</v>
      </c>
      <c r="AL28" s="49">
        <f>100*(O28-N28)/N28</f>
        <v>1.6808047529386789</v>
      </c>
      <c r="AM28" s="49">
        <f>100*(P28-O28)/O28</f>
        <v>2.8950707098338175</v>
      </c>
      <c r="AN28" s="49">
        <f>100*(Q28-P28)/P28</f>
        <v>8.4085290216491426</v>
      </c>
      <c r="AO28" s="49">
        <f>100*(R28-Q28)/Q28</f>
        <v>8.7940755523515666</v>
      </c>
      <c r="AP28" s="49">
        <f>100*(S28-R28)/R28</f>
        <v>0.33471234170391062</v>
      </c>
      <c r="AQ28" s="49">
        <f>100*(T28-S28)/S28</f>
        <v>0.80067823067395083</v>
      </c>
      <c r="AR28" s="49">
        <f>100*(U28-T28)/T28</f>
        <v>1.5728818378883676</v>
      </c>
      <c r="AS28" s="49">
        <f>100*(V28-U28)/U28</f>
        <v>3.8288951825284121</v>
      </c>
      <c r="AT28" s="49">
        <f t="shared" ref="AT28" si="25">100*(W28-V28)/V28</f>
        <v>-0.14446911471676746</v>
      </c>
      <c r="AU28" s="49">
        <f>100*(X28-W28)/W28</f>
        <v>5.1664505464883366</v>
      </c>
      <c r="AV28" s="49">
        <f>100*(Y28-X28)/X28</f>
        <v>3.9813941385030818</v>
      </c>
      <c r="AW28" s="49">
        <f>100*(Z28-Y28)/Y28</f>
        <v>0.29572162959717585</v>
      </c>
      <c r="AX28" s="49">
        <f t="shared" si="1"/>
        <v>3.2234338227026482</v>
      </c>
    </row>
    <row r="29" spans="1:50" ht="15" customHeight="1" x14ac:dyDescent="0.25">
      <c r="A29" s="1" t="s">
        <v>15</v>
      </c>
      <c r="B29" s="76">
        <v>228.06282828180895</v>
      </c>
      <c r="C29" s="76">
        <v>423.78261374128999</v>
      </c>
      <c r="D29" s="76">
        <v>423.78261374128999</v>
      </c>
      <c r="E29" s="76">
        <v>677.12492830989629</v>
      </c>
      <c r="F29" s="76">
        <v>185.566</v>
      </c>
      <c r="G29" s="76">
        <v>355.36200000000002</v>
      </c>
      <c r="H29" s="76">
        <v>246.381</v>
      </c>
      <c r="I29" s="76">
        <v>163.023</v>
      </c>
      <c r="J29" s="76">
        <v>322.44400000000002</v>
      </c>
      <c r="K29" s="11">
        <v>790.11599999999999</v>
      </c>
      <c r="L29" s="76">
        <v>228.92</v>
      </c>
      <c r="M29" s="76">
        <v>273</v>
      </c>
      <c r="N29" s="76">
        <v>163.928</v>
      </c>
      <c r="O29" s="11">
        <v>1083.3710000000001</v>
      </c>
      <c r="P29" s="11">
        <v>139.81299999999999</v>
      </c>
      <c r="Q29" s="11">
        <v>271.53100000000001</v>
      </c>
      <c r="R29" s="11">
        <v>386.9</v>
      </c>
      <c r="S29" s="11">
        <v>1955.65</v>
      </c>
      <c r="T29" s="11">
        <v>346.56099999999998</v>
      </c>
      <c r="U29" s="11">
        <v>334.2</v>
      </c>
      <c r="V29" s="11">
        <v>152.50200000000001</v>
      </c>
      <c r="W29" s="11">
        <v>45.969000000000001</v>
      </c>
      <c r="X29" s="11">
        <v>403.90199999999999</v>
      </c>
      <c r="Y29" s="11">
        <v>90.573999999999998</v>
      </c>
      <c r="Z29" s="11">
        <v>115.63</v>
      </c>
      <c r="AD29" s="23"/>
      <c r="AE29" s="23"/>
      <c r="AF29" s="23"/>
      <c r="AG29" s="23"/>
      <c r="AH29" s="23"/>
      <c r="AI29" s="23"/>
      <c r="AJ29" s="23"/>
      <c r="AK29" s="23"/>
      <c r="AL29" s="47"/>
      <c r="AM29" s="47"/>
      <c r="AN29" s="47"/>
      <c r="AO29" s="47"/>
      <c r="AP29" s="47"/>
      <c r="AQ29" s="47"/>
      <c r="AR29" s="47"/>
      <c r="AS29" s="51"/>
      <c r="AT29" s="51"/>
      <c r="AU29" s="51"/>
      <c r="AV29" s="51"/>
      <c r="AW29" s="51"/>
    </row>
    <row r="30" spans="1:50" ht="15" customHeight="1" x14ac:dyDescent="0.25">
      <c r="A30" s="1" t="s">
        <v>16</v>
      </c>
      <c r="B30" s="76">
        <v>-554.1792176906788</v>
      </c>
      <c r="C30" s="76">
        <v>-62.429508235321819</v>
      </c>
      <c r="D30" s="76">
        <v>-62.429508235321819</v>
      </c>
      <c r="E30" s="76">
        <v>-21.262317663264223</v>
      </c>
      <c r="F30" s="76">
        <v>-19.797000000000001</v>
      </c>
      <c r="G30" s="76">
        <v>-25.837</v>
      </c>
      <c r="H30" s="76">
        <v>-20.315000000000001</v>
      </c>
      <c r="I30" s="76">
        <v>-20.146999999999998</v>
      </c>
      <c r="J30" s="76">
        <v>-38.67</v>
      </c>
      <c r="K30" s="11">
        <v>-33.762999999999998</v>
      </c>
      <c r="L30" s="76">
        <v>-9.8819999999999997</v>
      </c>
      <c r="M30" s="76">
        <v>-14.37</v>
      </c>
      <c r="N30" s="76">
        <v>-8.9280000000000008</v>
      </c>
      <c r="O30" s="11">
        <v>-24.795000000000002</v>
      </c>
      <c r="P30" s="11">
        <v>-31.042999999999999</v>
      </c>
      <c r="Q30" s="11">
        <v>-29.087</v>
      </c>
      <c r="R30" s="11">
        <v>-18.13</v>
      </c>
      <c r="S30" s="11">
        <v>-46.31</v>
      </c>
      <c r="T30" s="11">
        <v>-15.73</v>
      </c>
      <c r="U30" s="11">
        <v>-21.95</v>
      </c>
      <c r="V30" s="11">
        <v>-29.742999999999999</v>
      </c>
      <c r="W30" s="11">
        <v>-26.13</v>
      </c>
      <c r="X30" s="11">
        <v>-9.8849999999999998</v>
      </c>
      <c r="Y30" s="11">
        <v>-9.33</v>
      </c>
      <c r="Z30" s="11">
        <v>-6.6890000000000001</v>
      </c>
      <c r="AD30" s="23"/>
      <c r="AE30" s="23"/>
      <c r="AF30" s="23"/>
      <c r="AG30" s="23"/>
      <c r="AH30" s="23"/>
      <c r="AI30" s="23"/>
      <c r="AJ30" s="23"/>
      <c r="AK30" s="23"/>
      <c r="AL30" s="47"/>
      <c r="AM30" s="47"/>
      <c r="AN30" s="47"/>
      <c r="AO30" s="47"/>
      <c r="AP30" s="47"/>
      <c r="AQ30" s="47"/>
      <c r="AR30" s="47"/>
      <c r="AS30" s="51"/>
      <c r="AT30" s="51"/>
      <c r="AU30" s="51"/>
      <c r="AV30" s="51"/>
      <c r="AW30" s="51"/>
    </row>
    <row r="31" spans="1:50" ht="13.5" x14ac:dyDescent="0.25">
      <c r="A31" s="4"/>
      <c r="B31" s="76"/>
      <c r="C31" s="76"/>
      <c r="D31" s="76"/>
      <c r="E31" s="76"/>
      <c r="F31" s="76"/>
      <c r="G31" s="76"/>
      <c r="H31" s="76"/>
      <c r="I31" s="76"/>
      <c r="J31" s="76"/>
      <c r="K31" s="11"/>
      <c r="L31" s="76"/>
      <c r="M31" s="76"/>
      <c r="N31" s="76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D31" s="23"/>
      <c r="AE31" s="23"/>
      <c r="AF31" s="23"/>
      <c r="AG31" s="23"/>
      <c r="AH31" s="23"/>
      <c r="AI31" s="23"/>
      <c r="AJ31" s="23"/>
      <c r="AK31" s="23"/>
      <c r="AL31" s="47"/>
      <c r="AM31" s="47"/>
      <c r="AN31" s="47"/>
      <c r="AO31" s="47"/>
      <c r="AP31" s="47"/>
      <c r="AQ31" s="47"/>
      <c r="AR31" s="47"/>
      <c r="AS31" s="51"/>
      <c r="AT31" s="51"/>
      <c r="AU31" s="51"/>
      <c r="AV31" s="51"/>
      <c r="AW31" s="51"/>
    </row>
    <row r="32" spans="1:50" ht="13.5" x14ac:dyDescent="0.25">
      <c r="A32" s="8" t="s">
        <v>17</v>
      </c>
      <c r="B32" s="78">
        <f>B26+B28+B29+B30</f>
        <v>-389.52323768486167</v>
      </c>
      <c r="C32" s="78">
        <f>C26+C28+C29+C30</f>
        <v>475.85241845828818</v>
      </c>
      <c r="D32" s="78">
        <f t="shared" ref="D32:I32" si="26">D26+D28+D29+D30</f>
        <v>528.04466398575346</v>
      </c>
      <c r="E32" s="78">
        <f t="shared" si="26"/>
        <v>953.60788330448793</v>
      </c>
      <c r="F32" s="78">
        <f t="shared" si="26"/>
        <v>671.73199999999974</v>
      </c>
      <c r="G32" s="78">
        <f t="shared" si="26"/>
        <v>1004.8269999999995</v>
      </c>
      <c r="H32" s="78">
        <f t="shared" si="26"/>
        <v>140.07299999999938</v>
      </c>
      <c r="I32" s="78">
        <f t="shared" si="26"/>
        <v>-154.47299999999515</v>
      </c>
      <c r="J32" s="78">
        <v>-48.772000000000034</v>
      </c>
      <c r="K32" s="9">
        <v>1020.2320000000012</v>
      </c>
      <c r="L32" s="78">
        <v>742.48300000000268</v>
      </c>
      <c r="M32" s="78">
        <v>616.24999999999875</v>
      </c>
      <c r="N32" s="78">
        <v>303.91100000000097</v>
      </c>
      <c r="O32" s="9">
        <v>1833.3889999999999</v>
      </c>
      <c r="P32" s="9">
        <v>427.02900000000159</v>
      </c>
      <c r="Q32" s="9">
        <v>-307.63200000000478</v>
      </c>
      <c r="R32" s="9">
        <f t="shared" ref="R32:Z32" si="27">R26+R28+R29+R30</f>
        <v>373.02200000000221</v>
      </c>
      <c r="S32" s="9">
        <f t="shared" si="27"/>
        <v>2039.2969999999927</v>
      </c>
      <c r="T32" s="9">
        <f t="shared" si="27"/>
        <v>144.77900000000349</v>
      </c>
      <c r="U32" s="9">
        <f t="shared" si="27"/>
        <v>893.81599999999889</v>
      </c>
      <c r="V32" s="9">
        <f t="shared" si="27"/>
        <v>1194.2090000000021</v>
      </c>
      <c r="W32" s="9">
        <f t="shared" si="27"/>
        <v>966.99700000000314</v>
      </c>
      <c r="X32" s="9">
        <f t="shared" si="27"/>
        <v>-164.09400000000329</v>
      </c>
      <c r="Y32" s="9">
        <f t="shared" si="27"/>
        <v>1756.7050000000049</v>
      </c>
      <c r="Z32" s="9">
        <f t="shared" si="27"/>
        <v>1652.9240000000079</v>
      </c>
      <c r="AD32" s="23"/>
      <c r="AE32" s="23"/>
      <c r="AF32" s="23"/>
      <c r="AG32" s="23"/>
      <c r="AH32" s="23"/>
      <c r="AI32" s="23"/>
      <c r="AJ32" s="23"/>
      <c r="AK32" s="23"/>
      <c r="AL32" s="47"/>
      <c r="AM32" s="47"/>
      <c r="AN32" s="47"/>
      <c r="AO32" s="47"/>
      <c r="AP32" s="47"/>
      <c r="AQ32" s="47"/>
      <c r="AR32" s="47"/>
      <c r="AS32" s="51"/>
      <c r="AT32" s="51"/>
      <c r="AU32" s="51"/>
      <c r="AV32" s="51"/>
      <c r="AW32" s="51"/>
    </row>
    <row r="33" spans="1:50" ht="13.5" x14ac:dyDescent="0.25">
      <c r="A33" s="8"/>
      <c r="B33" s="78"/>
      <c r="C33" s="78"/>
      <c r="D33" s="78"/>
      <c r="E33" s="78"/>
      <c r="F33" s="78"/>
      <c r="G33" s="78"/>
      <c r="H33" s="78"/>
      <c r="I33" s="78"/>
      <c r="J33" s="78"/>
      <c r="K33" s="9"/>
      <c r="L33" s="78"/>
      <c r="M33" s="78"/>
      <c r="N33" s="78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D33" s="23"/>
      <c r="AE33" s="23"/>
      <c r="AF33" s="23"/>
      <c r="AG33" s="23"/>
      <c r="AH33" s="23"/>
      <c r="AI33" s="23"/>
      <c r="AJ33" s="23"/>
      <c r="AK33" s="23"/>
      <c r="AL33" s="47"/>
      <c r="AM33" s="47"/>
      <c r="AN33" s="47"/>
      <c r="AO33" s="47"/>
      <c r="AP33" s="47"/>
      <c r="AQ33" s="47"/>
      <c r="AR33" s="47"/>
      <c r="AS33" s="51"/>
      <c r="AT33" s="51"/>
      <c r="AU33" s="51"/>
      <c r="AV33" s="51"/>
      <c r="AW33" s="51"/>
    </row>
    <row r="34" spans="1:50" s="1" customFormat="1" ht="13.5" x14ac:dyDescent="0.25">
      <c r="A34" s="1" t="s">
        <v>45</v>
      </c>
      <c r="B34" s="76">
        <f>B36-B32</f>
        <v>314.14323768486167</v>
      </c>
      <c r="C34" s="76">
        <f t="shared" ref="C34:Z34" si="28">C36-C32</f>
        <v>-329.22941845828819</v>
      </c>
      <c r="D34" s="76">
        <f t="shared" si="28"/>
        <v>-243.53866398575349</v>
      </c>
      <c r="E34" s="76">
        <f t="shared" si="28"/>
        <v>-546.61788330448792</v>
      </c>
      <c r="F34" s="76">
        <f t="shared" si="28"/>
        <v>-159.75599999999974</v>
      </c>
      <c r="G34" s="76">
        <f t="shared" si="28"/>
        <v>-192.7229999999995</v>
      </c>
      <c r="H34" s="76">
        <f t="shared" si="28"/>
        <v>-63.501999999999384</v>
      </c>
      <c r="I34" s="76">
        <f t="shared" si="28"/>
        <v>52.308999999995152</v>
      </c>
      <c r="J34" s="76">
        <f t="shared" si="28"/>
        <v>29.504000000000033</v>
      </c>
      <c r="K34" s="35">
        <f t="shared" si="28"/>
        <v>-494.16200000000117</v>
      </c>
      <c r="L34" s="76">
        <f t="shared" si="28"/>
        <v>-184.8810000000027</v>
      </c>
      <c r="M34" s="76">
        <f t="shared" si="28"/>
        <v>126.20500000000129</v>
      </c>
      <c r="N34" s="76">
        <f t="shared" si="28"/>
        <v>-3.70700000000096</v>
      </c>
      <c r="O34" s="35">
        <f t="shared" si="28"/>
        <v>4.068000000000211</v>
      </c>
      <c r="P34" s="35">
        <f t="shared" si="28"/>
        <v>38.939999999998406</v>
      </c>
      <c r="Q34" s="35">
        <f t="shared" si="28"/>
        <v>22.152000000004762</v>
      </c>
      <c r="R34" s="35">
        <f t="shared" si="28"/>
        <v>20.339999999997815</v>
      </c>
      <c r="S34" s="35">
        <f t="shared" si="28"/>
        <v>406.70000000000709</v>
      </c>
      <c r="T34" s="35">
        <f t="shared" si="28"/>
        <v>19.872999999996523</v>
      </c>
      <c r="U34" s="35">
        <f t="shared" si="28"/>
        <v>-27.366999999998825</v>
      </c>
      <c r="V34" s="35">
        <f t="shared" si="28"/>
        <v>-18.688000000002148</v>
      </c>
      <c r="W34" s="35">
        <f t="shared" si="28"/>
        <v>-991.31000000000313</v>
      </c>
      <c r="X34" s="35">
        <f t="shared" si="28"/>
        <v>32.030000000003298</v>
      </c>
      <c r="Y34" s="35">
        <f t="shared" si="28"/>
        <v>-180.702000000005</v>
      </c>
      <c r="Z34" s="35">
        <f t="shared" si="28"/>
        <v>-250.06300000000783</v>
      </c>
      <c r="AD34" s="23"/>
      <c r="AE34" s="23"/>
      <c r="AF34" s="23"/>
      <c r="AG34" s="23"/>
      <c r="AH34" s="23"/>
      <c r="AI34" s="23"/>
      <c r="AJ34" s="23"/>
      <c r="AK34" s="23"/>
      <c r="AL34" s="47"/>
      <c r="AM34" s="47"/>
      <c r="AN34" s="47"/>
      <c r="AO34" s="47"/>
      <c r="AP34" s="47"/>
      <c r="AQ34" s="47"/>
      <c r="AR34" s="47"/>
      <c r="AS34" s="51"/>
      <c r="AT34" s="51"/>
      <c r="AU34" s="51"/>
      <c r="AV34" s="51"/>
      <c r="AW34" s="51"/>
      <c r="AX34" s="65"/>
    </row>
    <row r="35" spans="1:50" ht="13.5" x14ac:dyDescent="0.25">
      <c r="A35" s="8"/>
      <c r="B35" s="78"/>
      <c r="C35" s="78"/>
      <c r="D35" s="78"/>
      <c r="E35" s="78"/>
      <c r="F35" s="78"/>
      <c r="G35" s="78"/>
      <c r="H35" s="78"/>
      <c r="I35" s="78"/>
      <c r="J35" s="78"/>
      <c r="K35" s="9"/>
      <c r="L35" s="78"/>
      <c r="M35" s="78"/>
      <c r="N35" s="78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D35" s="23"/>
      <c r="AE35" s="23"/>
      <c r="AF35" s="23"/>
      <c r="AG35" s="23"/>
      <c r="AH35" s="23"/>
      <c r="AI35" s="23"/>
      <c r="AJ35" s="23"/>
      <c r="AK35" s="23"/>
      <c r="AL35" s="47"/>
      <c r="AM35" s="47"/>
      <c r="AN35" s="47"/>
      <c r="AO35" s="47"/>
      <c r="AP35" s="47"/>
      <c r="AQ35" s="47"/>
      <c r="AR35" s="47"/>
      <c r="AS35" s="51"/>
      <c r="AT35" s="51"/>
      <c r="AU35" s="51"/>
      <c r="AV35" s="51"/>
      <c r="AW35" s="51"/>
    </row>
    <row r="36" spans="1:50" s="1" customFormat="1" x14ac:dyDescent="0.2">
      <c r="A36" s="8" t="s">
        <v>46</v>
      </c>
      <c r="B36" s="78">
        <v>-75.38</v>
      </c>
      <c r="C36" s="78">
        <v>146.62299999999999</v>
      </c>
      <c r="D36" s="78">
        <v>284.50599999999997</v>
      </c>
      <c r="E36" s="78">
        <v>406.99</v>
      </c>
      <c r="F36" s="78">
        <v>511.976</v>
      </c>
      <c r="G36" s="78">
        <v>812.10400000000004</v>
      </c>
      <c r="H36" s="78">
        <v>76.570999999999998</v>
      </c>
      <c r="I36" s="78">
        <v>-102.164</v>
      </c>
      <c r="J36" s="78">
        <v>-19.268000000000001</v>
      </c>
      <c r="K36" s="10">
        <v>526.07000000000005</v>
      </c>
      <c r="L36" s="78">
        <v>557.60199999999998</v>
      </c>
      <c r="M36" s="78">
        <v>742.45500000000004</v>
      </c>
      <c r="N36" s="78">
        <v>300.20400000000001</v>
      </c>
      <c r="O36" s="10">
        <v>1837.4570000000001</v>
      </c>
      <c r="P36" s="10">
        <v>465.96899999999999</v>
      </c>
      <c r="Q36" s="10">
        <v>-285.48</v>
      </c>
      <c r="R36" s="10">
        <v>393.36200000000002</v>
      </c>
      <c r="S36" s="10">
        <v>2445.9969999999998</v>
      </c>
      <c r="T36" s="10">
        <v>164.65200000000002</v>
      </c>
      <c r="U36" s="10">
        <v>866.44900000000007</v>
      </c>
      <c r="V36" s="10">
        <v>1175.521</v>
      </c>
      <c r="W36" s="10">
        <v>-24.312999999999999</v>
      </c>
      <c r="X36" s="10">
        <v>-132.06399999999999</v>
      </c>
      <c r="Y36" s="10">
        <v>1576.0029999999999</v>
      </c>
      <c r="Z36" s="10">
        <v>1402.8610000000001</v>
      </c>
      <c r="AD36" s="17"/>
      <c r="AE36" s="17"/>
      <c r="AF36" s="17"/>
      <c r="AG36" s="17"/>
      <c r="AH36" s="17"/>
      <c r="AI36" s="17"/>
      <c r="AJ36" s="17"/>
      <c r="AK36" s="17"/>
      <c r="AL36" s="62"/>
      <c r="AM36" s="62"/>
      <c r="AN36" s="62"/>
      <c r="AO36" s="62"/>
      <c r="AP36" s="62"/>
      <c r="AQ36" s="62"/>
      <c r="AR36" s="62"/>
      <c r="AS36" s="63"/>
      <c r="AT36" s="63"/>
      <c r="AU36" s="63"/>
      <c r="AV36" s="63"/>
      <c r="AW36" s="63"/>
      <c r="AX36" s="65"/>
    </row>
    <row r="37" spans="1:50" ht="13.5" x14ac:dyDescent="0.25">
      <c r="A37" s="26"/>
      <c r="K37" s="26"/>
      <c r="L37" s="75"/>
      <c r="M37" s="75"/>
      <c r="N37" s="7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D37" s="23"/>
      <c r="AE37" s="23"/>
      <c r="AF37" s="23"/>
      <c r="AG37" s="23"/>
      <c r="AH37" s="23"/>
      <c r="AI37" s="23"/>
      <c r="AJ37" s="23"/>
      <c r="AK37" s="23"/>
      <c r="AL37" s="47"/>
      <c r="AM37" s="47"/>
      <c r="AN37" s="47"/>
      <c r="AO37" s="47"/>
      <c r="AP37" s="47"/>
      <c r="AQ37" s="47"/>
      <c r="AR37" s="47"/>
      <c r="AS37" s="51"/>
      <c r="AT37" s="51"/>
      <c r="AU37" s="51"/>
      <c r="AV37" s="51"/>
      <c r="AW37" s="51"/>
    </row>
    <row r="38" spans="1:50" ht="13.5" x14ac:dyDescent="0.25">
      <c r="A38" s="7"/>
      <c r="B38" s="84"/>
      <c r="C38" s="84"/>
      <c r="K38" s="26"/>
      <c r="L38" s="75"/>
      <c r="M38" s="75"/>
      <c r="N38" s="75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D38" s="23"/>
      <c r="AE38" s="23"/>
      <c r="AF38" s="23"/>
      <c r="AG38" s="23"/>
      <c r="AH38" s="23"/>
      <c r="AI38" s="23"/>
      <c r="AJ38" s="23"/>
      <c r="AK38" s="23"/>
      <c r="AL38" s="47"/>
      <c r="AM38" s="47"/>
      <c r="AN38" s="47"/>
      <c r="AO38" s="47"/>
      <c r="AP38" s="47"/>
      <c r="AQ38" s="47"/>
      <c r="AR38" s="47"/>
      <c r="AS38" s="51"/>
      <c r="AT38" s="51"/>
      <c r="AU38" s="51"/>
      <c r="AV38" s="51"/>
      <c r="AW38" s="51"/>
    </row>
    <row r="39" spans="1:50" ht="18" x14ac:dyDescent="0.25">
      <c r="A39" s="5" t="s">
        <v>53</v>
      </c>
      <c r="B39" s="85"/>
      <c r="C39" s="85"/>
      <c r="K39" s="26"/>
      <c r="L39" s="75"/>
      <c r="M39" s="75"/>
      <c r="N39" s="75"/>
      <c r="O39" s="27"/>
      <c r="P39" s="27"/>
      <c r="Q39" s="27"/>
      <c r="R39" s="27"/>
      <c r="S39" s="27"/>
      <c r="T39" s="27"/>
      <c r="U39" s="27"/>
      <c r="V39" s="27"/>
      <c r="AD39" s="23"/>
      <c r="AE39" s="23"/>
      <c r="AF39" s="23"/>
      <c r="AG39" s="23"/>
      <c r="AH39" s="23"/>
      <c r="AI39" s="23"/>
      <c r="AJ39" s="23"/>
      <c r="AK39" s="23"/>
      <c r="AL39" s="47"/>
      <c r="AM39" s="47"/>
      <c r="AN39" s="47"/>
      <c r="AO39" s="47"/>
      <c r="AP39" s="47"/>
      <c r="AQ39" s="47"/>
      <c r="AR39" s="47"/>
      <c r="AS39" s="51"/>
      <c r="AT39" s="51"/>
      <c r="AU39" s="51"/>
      <c r="AV39" s="51"/>
      <c r="AW39" s="51"/>
    </row>
    <row r="40" spans="1:50" ht="15" x14ac:dyDescent="0.25">
      <c r="A40" s="72" t="s">
        <v>48</v>
      </c>
      <c r="K40" s="4"/>
      <c r="L40" s="75"/>
      <c r="M40" s="75"/>
      <c r="N40" s="75"/>
      <c r="O40" s="11"/>
      <c r="P40" s="11"/>
      <c r="Q40" s="11"/>
      <c r="R40" s="11"/>
      <c r="S40" s="11"/>
      <c r="T40" s="11"/>
      <c r="U40" s="11"/>
      <c r="V40" s="11"/>
      <c r="W40" s="1"/>
      <c r="X40" s="1"/>
      <c r="Y40" s="1"/>
      <c r="Z40" s="1"/>
      <c r="AD40" s="23"/>
      <c r="AE40" s="23"/>
      <c r="AF40" s="23"/>
      <c r="AG40" s="23"/>
      <c r="AH40" s="23"/>
      <c r="AI40" s="23"/>
      <c r="AJ40" s="23"/>
      <c r="AK40" s="23"/>
      <c r="AL40" s="47"/>
      <c r="AM40" s="47"/>
      <c r="AN40" s="47"/>
      <c r="AO40" s="47"/>
      <c r="AP40" s="47"/>
      <c r="AQ40" s="47"/>
      <c r="AR40" s="47"/>
      <c r="AS40" s="51"/>
      <c r="AT40" s="51"/>
      <c r="AU40" s="51"/>
      <c r="AV40" s="51"/>
      <c r="AW40" s="51"/>
    </row>
    <row r="41" spans="1:50" ht="8.25" customHeight="1" x14ac:dyDescent="0.25">
      <c r="A41" s="4"/>
      <c r="K41" s="4"/>
      <c r="L41" s="75"/>
      <c r="M41" s="75"/>
      <c r="N41" s="75"/>
      <c r="O41" s="4"/>
      <c r="P41" s="4"/>
      <c r="Q41" s="4"/>
      <c r="R41" s="4"/>
      <c r="S41" s="4"/>
      <c r="T41" s="4"/>
      <c r="U41" s="4"/>
      <c r="AD41" s="23"/>
      <c r="AE41" s="23"/>
      <c r="AF41" s="23"/>
      <c r="AL41" s="52"/>
      <c r="AM41" s="52"/>
      <c r="AN41" s="52"/>
      <c r="AO41" s="52"/>
      <c r="AP41" s="52"/>
      <c r="AQ41" s="52"/>
      <c r="AR41" s="52"/>
      <c r="AS41" s="51"/>
      <c r="AT41" s="51"/>
      <c r="AU41" s="51"/>
      <c r="AV41" s="51"/>
      <c r="AW41" s="51"/>
    </row>
    <row r="42" spans="1:50" ht="13.5" customHeight="1" x14ac:dyDescent="0.25">
      <c r="A42" s="8" t="s">
        <v>18</v>
      </c>
      <c r="B42" s="74">
        <v>1997</v>
      </c>
      <c r="C42" s="74">
        <v>1998</v>
      </c>
      <c r="D42" s="74">
        <v>1999</v>
      </c>
      <c r="E42" s="74">
        <v>2000</v>
      </c>
      <c r="F42" s="74">
        <v>2001</v>
      </c>
      <c r="G42" s="74">
        <v>2002</v>
      </c>
      <c r="H42" s="74">
        <v>2003</v>
      </c>
      <c r="I42" s="74">
        <v>2004</v>
      </c>
      <c r="J42" s="74">
        <v>2005</v>
      </c>
      <c r="K42" s="12">
        <v>2006</v>
      </c>
      <c r="L42" s="74">
        <v>2007</v>
      </c>
      <c r="M42" s="74">
        <v>2008</v>
      </c>
      <c r="N42" s="74">
        <v>2009</v>
      </c>
      <c r="O42" s="12">
        <v>2010</v>
      </c>
      <c r="P42" s="12">
        <v>2011</v>
      </c>
      <c r="Q42" s="12">
        <v>2012</v>
      </c>
      <c r="R42" s="12">
        <v>2013</v>
      </c>
      <c r="S42" s="12">
        <v>2014</v>
      </c>
      <c r="T42" s="12">
        <v>2015</v>
      </c>
      <c r="U42" s="12">
        <v>2016</v>
      </c>
      <c r="V42" s="12">
        <v>2017</v>
      </c>
      <c r="W42" s="12">
        <v>2018</v>
      </c>
      <c r="X42" s="12">
        <v>2019</v>
      </c>
      <c r="Y42" s="12">
        <v>2020</v>
      </c>
      <c r="Z42" s="12">
        <v>2021</v>
      </c>
      <c r="AB42" s="19" t="s">
        <v>32</v>
      </c>
      <c r="AC42" s="40"/>
      <c r="AD42" s="40"/>
      <c r="AE42" s="21"/>
      <c r="AF42" s="21"/>
      <c r="AG42" s="21"/>
      <c r="AH42" s="21"/>
      <c r="AI42" s="21"/>
      <c r="AJ42" s="21"/>
      <c r="AK42" s="19" t="s">
        <v>32</v>
      </c>
      <c r="AL42" s="53" t="s">
        <v>32</v>
      </c>
      <c r="AM42" s="54"/>
      <c r="AN42" s="54"/>
      <c r="AO42" s="54"/>
      <c r="AP42" s="54"/>
      <c r="AQ42" s="54"/>
      <c r="AR42" s="54"/>
      <c r="AS42" s="55"/>
      <c r="AT42" s="73"/>
      <c r="AU42" s="73"/>
      <c r="AV42" s="73"/>
      <c r="AW42" s="73"/>
    </row>
    <row r="43" spans="1:50" ht="13.5" customHeight="1" x14ac:dyDescent="0.25">
      <c r="A43" s="1"/>
      <c r="K43" s="4"/>
      <c r="L43" s="75"/>
      <c r="M43" s="75"/>
      <c r="N43" s="75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B43" s="22">
        <v>1998</v>
      </c>
      <c r="AC43" s="22">
        <v>1999</v>
      </c>
      <c r="AD43" s="22">
        <v>2000</v>
      </c>
      <c r="AE43" s="22">
        <v>2001</v>
      </c>
      <c r="AF43" s="22">
        <v>2002</v>
      </c>
      <c r="AG43" s="22">
        <v>2003</v>
      </c>
      <c r="AH43" s="22">
        <v>2004</v>
      </c>
      <c r="AI43" s="22">
        <v>2005</v>
      </c>
      <c r="AJ43" s="22">
        <v>2006</v>
      </c>
      <c r="AK43" s="22">
        <v>2007</v>
      </c>
      <c r="AL43" s="59">
        <v>2010</v>
      </c>
      <c r="AM43" s="59">
        <v>2011</v>
      </c>
      <c r="AN43" s="59">
        <v>2012</v>
      </c>
      <c r="AO43" s="59">
        <v>2013</v>
      </c>
      <c r="AP43" s="59">
        <v>2014</v>
      </c>
      <c r="AQ43" s="59">
        <v>2015</v>
      </c>
      <c r="AR43" s="59">
        <v>2016</v>
      </c>
      <c r="AS43" s="59">
        <v>2017</v>
      </c>
      <c r="AT43" s="82">
        <v>2018</v>
      </c>
      <c r="AU43" s="82">
        <v>2019</v>
      </c>
      <c r="AV43" s="82">
        <v>2020</v>
      </c>
      <c r="AW43" s="82">
        <v>2021</v>
      </c>
      <c r="AX43" s="82" t="s">
        <v>49</v>
      </c>
    </row>
    <row r="44" spans="1:50" ht="13.5" customHeight="1" x14ac:dyDescent="0.25">
      <c r="A44" s="1"/>
      <c r="K44" s="4"/>
      <c r="L44" s="75"/>
      <c r="M44" s="75"/>
      <c r="N44" s="7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D44" s="23"/>
      <c r="AE44" s="23"/>
      <c r="AF44" s="23"/>
      <c r="AG44" s="23"/>
      <c r="AH44" s="23"/>
      <c r="AI44" s="23"/>
      <c r="AJ44" s="23"/>
      <c r="AK44" s="23"/>
      <c r="AL44" s="47"/>
      <c r="AM44" s="47"/>
      <c r="AN44" s="47"/>
      <c r="AO44" s="47"/>
      <c r="AP44" s="47"/>
      <c r="AQ44" s="47"/>
      <c r="AR44" s="47"/>
      <c r="AX44" s="83" t="s">
        <v>33</v>
      </c>
    </row>
    <row r="45" spans="1:50" ht="14.25" customHeight="1" x14ac:dyDescent="0.25">
      <c r="A45" s="8" t="s">
        <v>37</v>
      </c>
      <c r="B45" s="87"/>
      <c r="C45" s="87"/>
      <c r="K45" s="26"/>
      <c r="L45" s="75"/>
      <c r="M45" s="75"/>
      <c r="N45" s="75"/>
      <c r="O45" s="27"/>
      <c r="P45" s="27"/>
      <c r="Q45" s="27"/>
      <c r="R45" s="27"/>
      <c r="S45" s="27"/>
      <c r="T45" s="27"/>
      <c r="U45" s="27"/>
      <c r="V45" s="27"/>
      <c r="W45" s="26"/>
      <c r="X45" s="26"/>
      <c r="Y45" s="26"/>
      <c r="Z45" s="26"/>
      <c r="AD45" s="23"/>
      <c r="AE45" s="23"/>
      <c r="AF45" s="23"/>
      <c r="AG45" s="23"/>
      <c r="AH45" s="23"/>
      <c r="AI45" s="23"/>
      <c r="AJ45" s="23"/>
      <c r="AK45" s="23"/>
      <c r="AL45" s="47"/>
      <c r="AM45" s="47"/>
      <c r="AN45" s="47"/>
      <c r="AO45" s="47"/>
      <c r="AP45" s="47"/>
      <c r="AQ45" s="47"/>
      <c r="AR45" s="47"/>
      <c r="AX45" s="80"/>
    </row>
    <row r="46" spans="1:50" ht="15" customHeight="1" x14ac:dyDescent="0.25">
      <c r="A46" s="1" t="s">
        <v>19</v>
      </c>
      <c r="B46" s="76">
        <f>B26</f>
        <v>980.70379919706863</v>
      </c>
      <c r="C46" s="76">
        <v>1275.2008584311766</v>
      </c>
      <c r="D46" s="76">
        <v>1327.3932721465658</v>
      </c>
      <c r="E46" s="76">
        <v>1494.1769976100495</v>
      </c>
      <c r="F46" s="76">
        <v>1720.9539999999995</v>
      </c>
      <c r="G46" s="76">
        <v>1981.5059999999996</v>
      </c>
      <c r="H46" s="76">
        <v>1253.2449999999999</v>
      </c>
      <c r="I46" s="76">
        <v>1107.1030000000012</v>
      </c>
      <c r="J46" s="76">
        <v>1121.8330000000001</v>
      </c>
      <c r="K46" s="11">
        <v>1727.3009999999999</v>
      </c>
      <c r="L46" s="76">
        <v>2024.68</v>
      </c>
      <c r="M46" s="76">
        <v>1936</v>
      </c>
      <c r="N46" s="76">
        <v>1817</v>
      </c>
      <c r="O46" s="11">
        <f t="shared" ref="O46:V46" si="29">O26</f>
        <v>2480.4079999999999</v>
      </c>
      <c r="P46" s="11">
        <f t="shared" si="29"/>
        <v>2073.4280000000017</v>
      </c>
      <c r="Q46" s="11">
        <f t="shared" si="29"/>
        <v>1352.8159999999953</v>
      </c>
      <c r="R46" s="11">
        <f t="shared" si="29"/>
        <v>2062.7360000000022</v>
      </c>
      <c r="S46" s="11">
        <f t="shared" si="29"/>
        <v>2195.3309999999929</v>
      </c>
      <c r="T46" s="11">
        <f t="shared" si="29"/>
        <v>1895.8590000000036</v>
      </c>
      <c r="U46" s="11">
        <f t="shared" si="29"/>
        <v>2696.222999999999</v>
      </c>
      <c r="V46" s="11">
        <f t="shared" si="29"/>
        <v>3267.0750000000021</v>
      </c>
      <c r="W46" s="11">
        <f>W26</f>
        <v>3139.6110000000031</v>
      </c>
      <c r="X46" s="11">
        <f>X26</f>
        <v>1747.6139999999966</v>
      </c>
      <c r="Y46" s="11">
        <f>Y26</f>
        <v>4072.9860000000049</v>
      </c>
      <c r="Z46" s="11">
        <f>Z26</f>
        <v>3948.5980000000077</v>
      </c>
      <c r="AD46" s="23"/>
      <c r="AE46" s="23"/>
      <c r="AF46" s="23"/>
      <c r="AG46" s="23"/>
      <c r="AH46" s="23"/>
      <c r="AI46" s="23"/>
      <c r="AJ46" s="23"/>
      <c r="AK46" s="23"/>
      <c r="AL46" s="47"/>
      <c r="AM46" s="47"/>
      <c r="AN46" s="47"/>
      <c r="AO46" s="47"/>
      <c r="AP46" s="47"/>
      <c r="AQ46" s="47"/>
      <c r="AR46" s="47"/>
      <c r="AX46" s="80"/>
    </row>
    <row r="47" spans="1:50" ht="15" customHeight="1" x14ac:dyDescent="0.25">
      <c r="A47" s="1" t="s">
        <v>20</v>
      </c>
      <c r="B47" s="76">
        <f>B29+B30</f>
        <v>-326.11638940886985</v>
      </c>
      <c r="C47" s="76">
        <v>353.19464556917313</v>
      </c>
      <c r="D47" s="76">
        <v>365.15112526132202</v>
      </c>
      <c r="E47" s="76">
        <v>656.70725041332173</v>
      </c>
      <c r="F47" s="76">
        <v>167.471</v>
      </c>
      <c r="G47" s="76">
        <v>329.52499999999998</v>
      </c>
      <c r="H47" s="76">
        <v>226.066</v>
      </c>
      <c r="I47" s="76">
        <v>142.876</v>
      </c>
      <c r="J47" s="76">
        <v>283.774</v>
      </c>
      <c r="K47" s="11">
        <v>756.35299999999995</v>
      </c>
      <c r="L47" s="76">
        <v>219.03799999999998</v>
      </c>
      <c r="M47" s="76">
        <v>259</v>
      </c>
      <c r="N47" s="76">
        <v>155</v>
      </c>
      <c r="O47" s="11">
        <f t="shared" ref="O47:V47" si="30">O29+O30</f>
        <v>1058.576</v>
      </c>
      <c r="P47" s="11">
        <f t="shared" si="30"/>
        <v>108.76999999999998</v>
      </c>
      <c r="Q47" s="11">
        <f t="shared" si="30"/>
        <v>242.44400000000002</v>
      </c>
      <c r="R47" s="11">
        <f t="shared" si="30"/>
        <v>368.77</v>
      </c>
      <c r="S47" s="11">
        <f t="shared" si="30"/>
        <v>1909.3400000000001</v>
      </c>
      <c r="T47" s="11">
        <f t="shared" si="30"/>
        <v>330.83099999999996</v>
      </c>
      <c r="U47" s="11">
        <f t="shared" si="30"/>
        <v>312.25</v>
      </c>
      <c r="V47" s="11">
        <f t="shared" si="30"/>
        <v>122.75900000000001</v>
      </c>
      <c r="W47" s="11">
        <f>W29+W30</f>
        <v>19.839000000000002</v>
      </c>
      <c r="X47" s="11">
        <f>X29+X30</f>
        <v>394.017</v>
      </c>
      <c r="Y47" s="11">
        <f>Y29+Y30</f>
        <v>81.244</v>
      </c>
      <c r="Z47" s="11">
        <f>Z29+Z30</f>
        <v>108.941</v>
      </c>
      <c r="AD47" s="23"/>
      <c r="AE47" s="23"/>
      <c r="AF47" s="23"/>
      <c r="AG47" s="23"/>
      <c r="AH47" s="23"/>
      <c r="AI47" s="23"/>
      <c r="AJ47" s="23"/>
      <c r="AK47" s="23"/>
      <c r="AL47" s="47"/>
      <c r="AM47" s="47"/>
      <c r="AN47" s="47"/>
      <c r="AO47" s="47"/>
      <c r="AP47" s="47"/>
      <c r="AQ47" s="47"/>
      <c r="AR47" s="47"/>
      <c r="AX47" s="80"/>
    </row>
    <row r="48" spans="1:50" ht="15" customHeight="1" x14ac:dyDescent="0.25">
      <c r="A48" s="1" t="s">
        <v>21</v>
      </c>
      <c r="B48" s="76">
        <v>49</v>
      </c>
      <c r="C48" s="76">
        <v>-311.82041565964147</v>
      </c>
      <c r="D48" s="76">
        <v>-506.55142429945528</v>
      </c>
      <c r="E48" s="76">
        <v>-734.55891875345822</v>
      </c>
      <c r="F48" s="76">
        <v>-274.721</v>
      </c>
      <c r="G48" s="76">
        <v>-470.05799999999999</v>
      </c>
      <c r="H48" s="76">
        <v>-446.66800000000001</v>
      </c>
      <c r="I48" s="76">
        <v>-383.39299999999997</v>
      </c>
      <c r="J48" s="76">
        <v>-604.60900000000004</v>
      </c>
      <c r="K48" s="11">
        <v>-1004.189</v>
      </c>
      <c r="L48" s="76">
        <v>-511.44</v>
      </c>
      <c r="M48" s="76">
        <v>-536</v>
      </c>
      <c r="N48" s="76">
        <v>-382.5</v>
      </c>
      <c r="O48" s="11">
        <v>-1369.434</v>
      </c>
      <c r="P48" s="11">
        <v>-452.94499999999999</v>
      </c>
      <c r="Q48" s="11">
        <v>-545.70400000000006</v>
      </c>
      <c r="R48" s="11">
        <v>-637.22399999999993</v>
      </c>
      <c r="S48" s="11">
        <v>-2614.0059999999999</v>
      </c>
      <c r="T48" s="11">
        <v>-613.30100000000004</v>
      </c>
      <c r="U48" s="11">
        <v>-639.048</v>
      </c>
      <c r="V48" s="11">
        <v>-544.28599999999994</v>
      </c>
      <c r="W48" s="11">
        <v>-516.15100000000007</v>
      </c>
      <c r="X48" s="11">
        <v>-838.73199999999997</v>
      </c>
      <c r="Y48" s="11">
        <v>-451.012</v>
      </c>
      <c r="Z48" s="11">
        <v>-733.04700000000003</v>
      </c>
      <c r="AD48" s="23"/>
      <c r="AE48" s="23"/>
      <c r="AF48" s="23"/>
      <c r="AG48" s="23"/>
      <c r="AH48" s="23"/>
      <c r="AI48" s="23"/>
      <c r="AJ48" s="23"/>
      <c r="AK48" s="23"/>
      <c r="AL48" s="47"/>
      <c r="AM48" s="47"/>
      <c r="AN48" s="47"/>
      <c r="AO48" s="47"/>
      <c r="AP48" s="47"/>
      <c r="AQ48" s="47"/>
      <c r="AR48" s="47"/>
      <c r="AX48" s="80"/>
    </row>
    <row r="49" spans="1:50" ht="14.25" customHeight="1" x14ac:dyDescent="0.25">
      <c r="A49" s="8" t="s">
        <v>38</v>
      </c>
      <c r="B49" s="76"/>
      <c r="C49" s="76"/>
      <c r="D49" s="76"/>
      <c r="E49" s="76"/>
      <c r="F49" s="76"/>
      <c r="G49" s="76"/>
      <c r="H49" s="76"/>
      <c r="I49" s="76"/>
      <c r="J49" s="76"/>
      <c r="K49" s="27"/>
      <c r="L49" s="76"/>
      <c r="M49" s="76"/>
      <c r="N49" s="7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D49" s="23"/>
      <c r="AE49" s="23"/>
      <c r="AF49" s="23"/>
      <c r="AG49" s="23"/>
      <c r="AH49" s="23"/>
      <c r="AI49" s="23"/>
      <c r="AJ49" s="23"/>
      <c r="AK49" s="23"/>
      <c r="AL49" s="47"/>
      <c r="AM49" s="47"/>
      <c r="AN49" s="47"/>
      <c r="AO49" s="47"/>
      <c r="AP49" s="47"/>
      <c r="AQ49" s="47"/>
      <c r="AR49" s="47"/>
      <c r="AX49" s="80"/>
    </row>
    <row r="50" spans="1:50" ht="15" customHeight="1" x14ac:dyDescent="0.25">
      <c r="A50" s="1" t="s">
        <v>34</v>
      </c>
      <c r="B50" s="76">
        <v>-2096.9670671221197</v>
      </c>
      <c r="C50" s="76">
        <v>-2296.606135831933</v>
      </c>
      <c r="D50" s="76">
        <v>-2130.4495831462241</v>
      </c>
      <c r="E50" s="76">
        <v>-2577.9533715792677</v>
      </c>
      <c r="F50" s="76">
        <v>-2682.1859999999997</v>
      </c>
      <c r="G50" s="76">
        <v>-2614.8969999999999</v>
      </c>
      <c r="H50" s="76">
        <v>-2729.462</v>
      </c>
      <c r="I50" s="76">
        <v>-2833.1669999999999</v>
      </c>
      <c r="J50" s="76">
        <v>-2717.8409999999999</v>
      </c>
      <c r="K50" s="11">
        <v>-2947.4560000000001</v>
      </c>
      <c r="L50" s="76">
        <v>-3219.9450000000002</v>
      </c>
      <c r="M50" s="76">
        <v>-3536</v>
      </c>
      <c r="N50" s="76">
        <v>-3330</v>
      </c>
      <c r="O50" s="11">
        <v>-3698.9259999999999</v>
      </c>
      <c r="P50" s="11">
        <v>-3574.0210000000002</v>
      </c>
      <c r="Q50" s="11">
        <v>-3748.9949999999999</v>
      </c>
      <c r="R50" s="11">
        <v>-3817.21</v>
      </c>
      <c r="S50" s="11">
        <v>-6791.9210000000003</v>
      </c>
      <c r="T50" s="11">
        <v>-3613.7660000000001</v>
      </c>
      <c r="U50" s="11">
        <v>-3469.143</v>
      </c>
      <c r="V50" s="11">
        <v>-3490.721</v>
      </c>
      <c r="W50" s="11">
        <v>-3649.5450000000001</v>
      </c>
      <c r="X50" s="11">
        <v>-4046.663</v>
      </c>
      <c r="Y50" s="11">
        <v>-4312.0420000000004</v>
      </c>
      <c r="Z50" s="11">
        <v>-3955.7950000000001</v>
      </c>
      <c r="AB50" s="18">
        <f>100*(C50-B50)/B50</f>
        <v>9.5203721527109249</v>
      </c>
      <c r="AC50" s="18">
        <f>100*(D50-C50)/C50</f>
        <v>-7.2348736726473817</v>
      </c>
      <c r="AD50" s="18">
        <f>100*(E50-D50)/D50</f>
        <v>21.005133938545264</v>
      </c>
      <c r="AE50" s="18">
        <f>100*(F50-E50)/E50</f>
        <v>4.0432317190003539</v>
      </c>
      <c r="AF50" s="18">
        <f>100*(G50-F50)/F50</f>
        <v>-2.5087372762366131</v>
      </c>
      <c r="AG50" s="18">
        <f>100*(H50-G50)/G50</f>
        <v>4.3812433147462428</v>
      </c>
      <c r="AH50" s="18">
        <f>100*(I50-H50)/H50</f>
        <v>3.799466708091189</v>
      </c>
      <c r="AI50" s="18">
        <f>100*(J50-I50)/I50</f>
        <v>-4.0705683780730197</v>
      </c>
      <c r="AJ50" s="18">
        <f>100*(K50-J50)/J50</f>
        <v>8.4484338855731522</v>
      </c>
      <c r="AK50" s="18">
        <f>100*(L50-K50)/K50</f>
        <v>9.2448877947626702</v>
      </c>
      <c r="AL50" s="49">
        <f>100*(O50-N50)/N50</f>
        <v>11.078858858858856</v>
      </c>
      <c r="AM50" s="49">
        <f>100*(P50-O50)/O50</f>
        <v>-3.3767909928449433</v>
      </c>
      <c r="AN50" s="49">
        <f>100*(Q50-P50)/P50</f>
        <v>4.895718296003289</v>
      </c>
      <c r="AO50" s="49">
        <f>100*(R50-Q50)/Q50</f>
        <v>1.8195543072210059</v>
      </c>
      <c r="AP50" s="49">
        <f>100*(S50-R50)/R50</f>
        <v>77.928932387791093</v>
      </c>
      <c r="AQ50" s="49">
        <f>100*(T50-S50)/S50</f>
        <v>-46.793167941735483</v>
      </c>
      <c r="AR50" s="49">
        <f>100*(U50-T50)/T50</f>
        <v>-4.0020023432618501</v>
      </c>
      <c r="AS50" s="49">
        <f>100*(V50-U50)/U50</f>
        <v>0.62199799777639531</v>
      </c>
      <c r="AT50" s="49">
        <f t="shared" ref="AT50" si="31">100*(W50-V50)/V50</f>
        <v>4.5498909824073612</v>
      </c>
      <c r="AU50" s="49">
        <f>100*(X50-W50)/W50</f>
        <v>10.8813016417115</v>
      </c>
      <c r="AV50" s="49">
        <f>100*(Y50-X50)/X50</f>
        <v>6.5579713457730575</v>
      </c>
      <c r="AW50" s="49">
        <f>100*(Z50-Y50)/Y50</f>
        <v>-8.2616774140882718</v>
      </c>
      <c r="AX50" s="49">
        <f>100*(EXP(LN(Z50/O50)/11)-1)</f>
        <v>0.61222178308522057</v>
      </c>
    </row>
    <row r="51" spans="1:50" ht="15" customHeight="1" x14ac:dyDescent="0.25">
      <c r="A51" s="1" t="s">
        <v>35</v>
      </c>
      <c r="B51" s="76">
        <v>242.02242617811436</v>
      </c>
      <c r="C51" s="76">
        <v>285.58309913164572</v>
      </c>
      <c r="D51" s="76">
        <v>260.91531233338884</v>
      </c>
      <c r="E51" s="76">
        <v>201.00525923646046</v>
      </c>
      <c r="F51" s="76">
        <v>171.935</v>
      </c>
      <c r="G51" s="76">
        <v>155.68600000000001</v>
      </c>
      <c r="H51" s="76">
        <v>172.62</v>
      </c>
      <c r="I51" s="76">
        <v>186.536</v>
      </c>
      <c r="J51" s="76">
        <v>189.393</v>
      </c>
      <c r="K51" s="11">
        <v>173.28899999999999</v>
      </c>
      <c r="L51" s="76">
        <v>207.54599999999999</v>
      </c>
      <c r="M51" s="76">
        <v>198.49</v>
      </c>
      <c r="N51" s="76">
        <v>223.6</v>
      </c>
      <c r="O51" s="11">
        <v>237.732</v>
      </c>
      <c r="P51" s="11">
        <v>228.298</v>
      </c>
      <c r="Q51" s="11">
        <v>195.40299999999999</v>
      </c>
      <c r="R51" s="11">
        <v>210.52600000000001</v>
      </c>
      <c r="S51" s="11">
        <v>222.37899999999999</v>
      </c>
      <c r="T51" s="11">
        <v>195.876</v>
      </c>
      <c r="U51" s="11">
        <v>139.233</v>
      </c>
      <c r="V51" s="11">
        <v>137.24299999999999</v>
      </c>
      <c r="W51" s="11">
        <v>120.782</v>
      </c>
      <c r="X51" s="11">
        <v>138.05100000000002</v>
      </c>
      <c r="Y51" s="11">
        <v>186.03399999999999</v>
      </c>
      <c r="Z51" s="11">
        <v>152.108</v>
      </c>
      <c r="AD51" s="18"/>
      <c r="AE51" s="18"/>
      <c r="AF51" s="18"/>
      <c r="AG51" s="18"/>
      <c r="AH51" s="18"/>
      <c r="AI51" s="18"/>
      <c r="AJ51" s="18"/>
      <c r="AK51" s="18"/>
      <c r="AL51" s="49"/>
      <c r="AM51" s="49"/>
      <c r="AN51" s="49"/>
      <c r="AO51" s="49"/>
      <c r="AP51" s="49"/>
      <c r="AQ51" s="49"/>
      <c r="AR51" s="49"/>
      <c r="AX51" s="81"/>
    </row>
    <row r="52" spans="1:50" ht="15" customHeight="1" x14ac:dyDescent="0.25">
      <c r="A52" s="1" t="s">
        <v>44</v>
      </c>
      <c r="B52" s="79">
        <v>177.10188656397111</v>
      </c>
      <c r="C52" s="79">
        <v>452.08914632854163</v>
      </c>
      <c r="D52" s="79">
        <v>674.4345942382181</v>
      </c>
      <c r="E52" s="79">
        <v>922.20652468241906</v>
      </c>
      <c r="F52" s="79">
        <v>444.80799999999999</v>
      </c>
      <c r="G52" s="79">
        <v>692.00599999999997</v>
      </c>
      <c r="H52" s="79">
        <v>648.43299999999999</v>
      </c>
      <c r="I52" s="79">
        <v>608.62300000000005</v>
      </c>
      <c r="J52" s="79">
        <v>890.14400000000001</v>
      </c>
      <c r="K52" s="28">
        <v>1551.4749999999999</v>
      </c>
      <c r="L52" s="79">
        <v>823.98</v>
      </c>
      <c r="M52" s="79">
        <v>871.4</v>
      </c>
      <c r="N52" s="79">
        <v>630.46400000000006</v>
      </c>
      <c r="O52" s="28">
        <v>2383.069</v>
      </c>
      <c r="P52" s="28">
        <v>704.95500000000004</v>
      </c>
      <c r="Q52" s="28">
        <v>841.24199999999996</v>
      </c>
      <c r="R52" s="28">
        <v>928.66600000000005</v>
      </c>
      <c r="S52" s="28">
        <v>4995.799</v>
      </c>
      <c r="T52" s="28">
        <v>916.22300000000007</v>
      </c>
      <c r="U52" s="28">
        <v>894.86800000000005</v>
      </c>
      <c r="V52" s="64">
        <v>974.21199999999999</v>
      </c>
      <c r="W52" s="64">
        <v>744.61900000000003</v>
      </c>
      <c r="X52" s="64">
        <v>1175.5550000000001</v>
      </c>
      <c r="Y52" s="96">
        <v>807.28</v>
      </c>
      <c r="Z52" s="96">
        <v>951.30100000000004</v>
      </c>
      <c r="AD52" s="18"/>
      <c r="AE52" s="18"/>
      <c r="AF52" s="18"/>
      <c r="AG52" s="18"/>
      <c r="AH52" s="18"/>
      <c r="AI52" s="18"/>
      <c r="AJ52" s="18"/>
      <c r="AK52" s="18"/>
      <c r="AL52" s="49"/>
      <c r="AM52" s="49"/>
      <c r="AN52" s="49"/>
      <c r="AO52" s="49"/>
      <c r="AP52" s="49"/>
      <c r="AQ52" s="49"/>
      <c r="AR52" s="49"/>
      <c r="AX52" s="81"/>
    </row>
    <row r="53" spans="1:50" s="37" customFormat="1" ht="17.25" customHeight="1" x14ac:dyDescent="0.25">
      <c r="A53" s="37" t="s">
        <v>39</v>
      </c>
      <c r="B53" s="76">
        <f>B46+B47+B48+B50+B51+B52</f>
        <v>-974.25534459183552</v>
      </c>
      <c r="C53" s="76">
        <f>C46+C47+C48+C50+C51+C52</f>
        <v>-242.35880203103733</v>
      </c>
      <c r="D53" s="76">
        <f t="shared" ref="D53:I53" si="32">D46+D47+D48+D50+D51+D52</f>
        <v>-9.1067034661846264</v>
      </c>
      <c r="E53" s="76">
        <f t="shared" si="32"/>
        <v>-38.416258390475377</v>
      </c>
      <c r="F53" s="76">
        <f t="shared" si="32"/>
        <v>-451.73900000000026</v>
      </c>
      <c r="G53" s="76">
        <f t="shared" si="32"/>
        <v>73.767999999999574</v>
      </c>
      <c r="H53" s="76">
        <f t="shared" si="32"/>
        <v>-875.76600000000008</v>
      </c>
      <c r="I53" s="76">
        <f t="shared" si="32"/>
        <v>-1171.4219999999987</v>
      </c>
      <c r="J53" s="76">
        <v>-837.30599999999981</v>
      </c>
      <c r="K53" s="38">
        <v>256.77299999999991</v>
      </c>
      <c r="L53" s="76">
        <v>-456.1410000000003</v>
      </c>
      <c r="M53" s="76">
        <v>-807.11</v>
      </c>
      <c r="N53" s="76">
        <v>-886.43600000000004</v>
      </c>
      <c r="O53" s="38">
        <v>1076.325</v>
      </c>
      <c r="P53" s="38">
        <v>-928.65600000000006</v>
      </c>
      <c r="Q53" s="38">
        <v>-1675.3340000000001</v>
      </c>
      <c r="R53" s="38">
        <v>-886.92399999999998</v>
      </c>
      <c r="S53" s="38">
        <v>-91.894999999999996</v>
      </c>
      <c r="T53" s="38">
        <v>-890.48400000000004</v>
      </c>
      <c r="U53" s="38">
        <v>-66.582999999999998</v>
      </c>
      <c r="V53" s="44">
        <v>465.21800000000002</v>
      </c>
      <c r="W53" s="44">
        <v>-1214.886</v>
      </c>
      <c r="X53" s="44">
        <v>-1434.1469999999999</v>
      </c>
      <c r="Y53" s="44">
        <v>382.69400000000002</v>
      </c>
      <c r="Z53" s="44">
        <v>472.43400000000378</v>
      </c>
      <c r="AD53" s="39"/>
      <c r="AE53" s="39"/>
      <c r="AF53" s="39"/>
      <c r="AG53" s="39"/>
      <c r="AH53" s="39"/>
      <c r="AI53" s="39"/>
      <c r="AJ53" s="39"/>
      <c r="AK53" s="39"/>
      <c r="AL53" s="56"/>
      <c r="AM53" s="56"/>
      <c r="AN53" s="56"/>
      <c r="AO53" s="56"/>
      <c r="AP53" s="56"/>
      <c r="AQ53" s="56"/>
      <c r="AR53" s="56"/>
      <c r="AX53" s="81"/>
    </row>
    <row r="54" spans="1:50" ht="7.5" customHeight="1" x14ac:dyDescent="0.25">
      <c r="A54" s="1"/>
      <c r="B54" s="76"/>
      <c r="C54" s="76"/>
      <c r="D54" s="76"/>
      <c r="E54" s="76"/>
      <c r="F54" s="76"/>
      <c r="G54" s="76"/>
      <c r="H54" s="76"/>
      <c r="I54" s="76"/>
      <c r="J54" s="76"/>
      <c r="K54" s="11"/>
      <c r="L54" s="76"/>
      <c r="M54" s="76"/>
      <c r="N54" s="76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D54" s="23"/>
      <c r="AE54" s="23"/>
      <c r="AF54" s="23"/>
      <c r="AG54" s="23"/>
      <c r="AH54" s="23"/>
      <c r="AI54" s="23"/>
      <c r="AJ54" s="23"/>
      <c r="AK54" s="23"/>
      <c r="AL54" s="47"/>
      <c r="AM54" s="47"/>
      <c r="AN54" s="47"/>
      <c r="AO54" s="47"/>
      <c r="AP54" s="47"/>
      <c r="AQ54" s="47"/>
      <c r="AR54" s="47"/>
      <c r="AX54" s="81"/>
    </row>
    <row r="55" spans="1:50" ht="14.25" customHeight="1" x14ac:dyDescent="0.25">
      <c r="A55" s="8" t="s">
        <v>40</v>
      </c>
      <c r="B55" s="76"/>
      <c r="C55" s="76"/>
      <c r="D55" s="76"/>
      <c r="E55" s="76"/>
      <c r="F55" s="76"/>
      <c r="G55" s="76"/>
      <c r="H55" s="76"/>
      <c r="I55" s="76"/>
      <c r="J55" s="76"/>
      <c r="K55" s="27"/>
      <c r="L55" s="76"/>
      <c r="M55" s="76"/>
      <c r="N55" s="76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D55" s="23"/>
      <c r="AE55" s="23"/>
      <c r="AF55" s="23"/>
      <c r="AG55" s="23"/>
      <c r="AH55" s="23"/>
      <c r="AI55" s="23"/>
      <c r="AJ55" s="23"/>
      <c r="AK55" s="23"/>
      <c r="AL55" s="47"/>
      <c r="AM55" s="47"/>
      <c r="AN55" s="47"/>
      <c r="AO55" s="47"/>
      <c r="AP55" s="47"/>
      <c r="AQ55" s="47"/>
      <c r="AR55" s="47"/>
      <c r="AX55" s="81"/>
    </row>
    <row r="56" spans="1:50" ht="15" customHeight="1" x14ac:dyDescent="0.25">
      <c r="A56" s="1" t="s">
        <v>22</v>
      </c>
      <c r="B56" s="76"/>
      <c r="C56" s="76"/>
      <c r="D56" s="76"/>
      <c r="E56" s="76"/>
      <c r="F56" s="76"/>
      <c r="G56" s="76"/>
      <c r="H56" s="76"/>
      <c r="I56" s="76"/>
      <c r="J56" s="76"/>
      <c r="K56" s="11"/>
      <c r="L56" s="76"/>
      <c r="M56" s="76"/>
      <c r="N56" s="76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D56" s="23"/>
      <c r="AE56" s="23"/>
      <c r="AF56" s="23"/>
      <c r="AG56" s="23"/>
      <c r="AH56" s="23"/>
      <c r="AI56" s="23"/>
      <c r="AJ56" s="23"/>
      <c r="AK56" s="23"/>
      <c r="AL56" s="47"/>
      <c r="AM56" s="47"/>
      <c r="AN56" s="47"/>
      <c r="AO56" s="47"/>
      <c r="AP56" s="47"/>
      <c r="AQ56" s="47"/>
      <c r="AR56" s="47"/>
      <c r="AX56" s="81"/>
    </row>
    <row r="57" spans="1:50" ht="15" customHeight="1" x14ac:dyDescent="0.25">
      <c r="A57" s="1" t="s">
        <v>23</v>
      </c>
      <c r="B57" s="76">
        <v>-132.53208605167069</v>
      </c>
      <c r="C57" s="76">
        <v>-141.27785822766927</v>
      </c>
      <c r="D57" s="76">
        <v>-151.04436292936273</v>
      </c>
      <c r="E57" s="76">
        <v>-310.99024005462746</v>
      </c>
      <c r="F57" s="76">
        <v>-288.01900000000001</v>
      </c>
      <c r="G57" s="76">
        <v>-444.25799999999998</v>
      </c>
      <c r="H57" s="76">
        <v>-263.81400000000002</v>
      </c>
      <c r="I57" s="76">
        <v>-188.60599999999999</v>
      </c>
      <c r="J57" s="76">
        <v>-424.96</v>
      </c>
      <c r="K57" s="11">
        <v>-515.23500000000001</v>
      </c>
      <c r="L57" s="76">
        <v>-149.28800000000001</v>
      </c>
      <c r="M57" s="76">
        <v>-364</v>
      </c>
      <c r="N57" s="76">
        <v>-303.64699999999999</v>
      </c>
      <c r="O57" s="11">
        <v>-1342.038</v>
      </c>
      <c r="P57" s="11">
        <v>-357.07799999999997</v>
      </c>
      <c r="Q57" s="11">
        <v>-315.17500000000001</v>
      </c>
      <c r="R57" s="11">
        <v>-719.56</v>
      </c>
      <c r="S57" s="11">
        <v>-1334.45</v>
      </c>
      <c r="T57" s="11">
        <v>-512.64700000000005</v>
      </c>
      <c r="U57" s="11">
        <v>-270.04000000000002</v>
      </c>
      <c r="V57" s="11">
        <v>-326.33600000000001</v>
      </c>
      <c r="W57" s="11">
        <v>-261.87</v>
      </c>
      <c r="X57" s="11">
        <v>-430.53199999999998</v>
      </c>
      <c r="Y57" s="11">
        <v>-202.93299999999999</v>
      </c>
      <c r="Z57" s="11">
        <v>-368.35300000000001</v>
      </c>
      <c r="AD57" s="23"/>
      <c r="AE57" s="23"/>
      <c r="AF57" s="23"/>
      <c r="AG57" s="23"/>
      <c r="AH57" s="23"/>
      <c r="AI57" s="23"/>
      <c r="AJ57" s="23"/>
      <c r="AK57" s="23"/>
      <c r="AL57" s="47"/>
      <c r="AM57" s="47"/>
      <c r="AN57" s="47"/>
      <c r="AO57" s="47"/>
      <c r="AP57" s="47"/>
      <c r="AQ57" s="47"/>
      <c r="AR57" s="47"/>
      <c r="AX57" s="81"/>
    </row>
    <row r="58" spans="1:50" ht="15" customHeight="1" x14ac:dyDescent="0.25">
      <c r="A58" s="1" t="s">
        <v>24</v>
      </c>
      <c r="B58" s="76">
        <v>196.27531018058338</v>
      </c>
      <c r="C58" s="76">
        <v>180.46564509320135</v>
      </c>
      <c r="D58" s="76">
        <v>253.51201618640604</v>
      </c>
      <c r="E58" s="76">
        <v>275.9698136309587</v>
      </c>
      <c r="F58" s="76">
        <v>221.095</v>
      </c>
      <c r="G58" s="76">
        <v>199.93100000000001</v>
      </c>
      <c r="H58" s="76">
        <v>198.94300000000001</v>
      </c>
      <c r="I58" s="76">
        <v>152.88200000000001</v>
      </c>
      <c r="J58" s="76">
        <v>137.55799999999999</v>
      </c>
      <c r="K58" s="11">
        <v>131.88399999999999</v>
      </c>
      <c r="L58" s="76">
        <v>119.544</v>
      </c>
      <c r="M58" s="76">
        <v>112</v>
      </c>
      <c r="N58" s="76">
        <v>151.80099999999999</v>
      </c>
      <c r="O58" s="11">
        <v>185.547</v>
      </c>
      <c r="P58" s="11">
        <v>256.20299999999997</v>
      </c>
      <c r="Q58" s="11">
        <v>238.17699999999999</v>
      </c>
      <c r="R58" s="11">
        <v>853.63</v>
      </c>
      <c r="S58" s="11">
        <v>286.94</v>
      </c>
      <c r="T58" s="11">
        <v>313.72800000000001</v>
      </c>
      <c r="U58" s="11">
        <v>165.69</v>
      </c>
      <c r="V58" s="11">
        <v>258.24400000000003</v>
      </c>
      <c r="W58" s="11">
        <v>216.40600000000001</v>
      </c>
      <c r="X58" s="11">
        <v>494.16899999999998</v>
      </c>
      <c r="Y58" s="11">
        <v>231.303</v>
      </c>
      <c r="Z58" s="11">
        <v>226.471</v>
      </c>
      <c r="AD58" s="23"/>
      <c r="AE58" s="23"/>
      <c r="AF58" s="23"/>
      <c r="AG58" s="23"/>
      <c r="AH58" s="23"/>
      <c r="AI58" s="23"/>
      <c r="AJ58" s="23"/>
      <c r="AK58" s="23"/>
      <c r="AL58" s="47"/>
      <c r="AM58" s="47"/>
      <c r="AN58" s="47"/>
      <c r="AO58" s="47"/>
      <c r="AP58" s="47"/>
      <c r="AQ58" s="47"/>
      <c r="AR58" s="47"/>
      <c r="AX58" s="81"/>
    </row>
    <row r="59" spans="1:50" ht="15" customHeight="1" x14ac:dyDescent="0.25">
      <c r="A59" s="1" t="s">
        <v>25</v>
      </c>
      <c r="B59" s="76"/>
      <c r="C59" s="76"/>
      <c r="D59" s="76"/>
      <c r="E59" s="76"/>
      <c r="F59" s="76"/>
      <c r="G59" s="76"/>
      <c r="H59" s="76"/>
      <c r="I59" s="76"/>
      <c r="J59" s="76"/>
      <c r="K59" s="11"/>
      <c r="L59" s="76"/>
      <c r="M59" s="76"/>
      <c r="N59" s="76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D59" s="23"/>
      <c r="AE59" s="23"/>
      <c r="AF59" s="23"/>
      <c r="AG59" s="23"/>
      <c r="AH59" s="23"/>
      <c r="AI59" s="23"/>
      <c r="AJ59" s="23"/>
      <c r="AK59" s="23"/>
      <c r="AL59" s="47"/>
      <c r="AM59" s="47"/>
      <c r="AN59" s="47"/>
      <c r="AO59" s="47"/>
      <c r="AP59" s="47"/>
      <c r="AQ59" s="47"/>
      <c r="AR59" s="47"/>
      <c r="AX59" s="81"/>
    </row>
    <row r="60" spans="1:50" ht="15" customHeight="1" x14ac:dyDescent="0.25">
      <c r="A60" s="1" t="s">
        <v>26</v>
      </c>
      <c r="B60" s="76">
        <v>609.3448575700545</v>
      </c>
      <c r="C60" s="76">
        <v>705.38016357957724</v>
      </c>
      <c r="D60" s="76">
        <v>682.30293000186691</v>
      </c>
      <c r="E60" s="76">
        <v>670.66533461828908</v>
      </c>
      <c r="F60" s="76">
        <v>822.702</v>
      </c>
      <c r="G60" s="76">
        <v>1295.5519999999999</v>
      </c>
      <c r="H60" s="76">
        <v>1280.5</v>
      </c>
      <c r="I60" s="76">
        <v>1659.711</v>
      </c>
      <c r="J60" s="76">
        <v>1419.9480000000001</v>
      </c>
      <c r="K60" s="11">
        <v>1324.8030000000001</v>
      </c>
      <c r="L60" s="76">
        <v>1405.73</v>
      </c>
      <c r="M60" s="76">
        <v>1339</v>
      </c>
      <c r="N60" s="76">
        <v>2159.8220000000001</v>
      </c>
      <c r="O60" s="11">
        <v>1820.932</v>
      </c>
      <c r="P60" s="11">
        <v>1764.529</v>
      </c>
      <c r="Q60" s="11">
        <v>2125.19</v>
      </c>
      <c r="R60" s="11">
        <v>2719.8529999999996</v>
      </c>
      <c r="S60" s="11">
        <v>2522.6109999999999</v>
      </c>
      <c r="T60" s="11">
        <v>2268.17</v>
      </c>
      <c r="U60" s="11">
        <v>2216.2690000000002</v>
      </c>
      <c r="V60" s="11">
        <v>1696.1149999999998</v>
      </c>
      <c r="W60" s="11">
        <v>2264.6309999999999</v>
      </c>
      <c r="X60" s="11">
        <v>2830.7660000000001</v>
      </c>
      <c r="Y60" s="11">
        <v>3338.105</v>
      </c>
      <c r="Z60" s="11">
        <v>1563.0840000000001</v>
      </c>
      <c r="AB60" s="18">
        <f>100*(C60-B60)/B60</f>
        <v>15.760419541816164</v>
      </c>
      <c r="AC60" s="18">
        <f>100*(D60-C60)/C60</f>
        <v>-3.2716022889842549</v>
      </c>
      <c r="AD60" s="18">
        <f>100*(E60-D60)/D60</f>
        <v>-1.7056346780668212</v>
      </c>
      <c r="AE60" s="18">
        <f>100*(F60-E60)/E60</f>
        <v>22.669527935008446</v>
      </c>
      <c r="AF60" s="18">
        <f>100*(G60-F60)/F60</f>
        <v>57.475246200933015</v>
      </c>
      <c r="AG60" s="18">
        <f>100*(H60-G60)/G60</f>
        <v>-1.1618213703502374</v>
      </c>
      <c r="AH60" s="18">
        <f>100*(I60-H60)/H60</f>
        <v>29.614291292463879</v>
      </c>
      <c r="AI60" s="18">
        <f>100*(J60-I60)/I60</f>
        <v>-14.446069225304882</v>
      </c>
      <c r="AJ60" s="18">
        <f>100*(K60-J60)/J60</f>
        <v>-6.7005974866685243</v>
      </c>
      <c r="AK60" s="18">
        <f>100*(L60-K60)/K60</f>
        <v>6.1086063361873348</v>
      </c>
      <c r="AL60" s="49">
        <f>100*(O60-N60)/N60</f>
        <v>-15.690644877216736</v>
      </c>
      <c r="AM60" s="49">
        <f>100*(P60-O60)/O60</f>
        <v>-3.0974797521269339</v>
      </c>
      <c r="AN60" s="49">
        <f>100*(Q60-P60)/P60</f>
        <v>20.439505386423235</v>
      </c>
      <c r="AO60" s="49">
        <f>100*(R60-Q60)/Q60</f>
        <v>27.981639288722402</v>
      </c>
      <c r="AP60" s="49">
        <f>100*(S60-R60)/R60</f>
        <v>-7.251936042131681</v>
      </c>
      <c r="AQ60" s="49">
        <f>100*(T60-S60)/S60</f>
        <v>-10.08641443329946</v>
      </c>
      <c r="AR60" s="49">
        <f>100*(U60-T60)/T60</f>
        <v>-2.2882323635353541</v>
      </c>
      <c r="AS60" s="49">
        <f>100*(V60-U60)/U60</f>
        <v>-23.469804432584692</v>
      </c>
      <c r="AT60" s="49"/>
      <c r="AU60" s="49"/>
      <c r="AV60" s="49"/>
      <c r="AW60" s="49"/>
      <c r="AX60" s="49">
        <f>100*(EXP(LN(Z60/O60)/11)-1)</f>
        <v>-1.3784804156301678</v>
      </c>
    </row>
    <row r="61" spans="1:50" ht="15" customHeight="1" x14ac:dyDescent="0.25">
      <c r="A61" s="1" t="s">
        <v>27</v>
      </c>
      <c r="B61" s="76">
        <v>-725.73090268142005</v>
      </c>
      <c r="C61" s="76">
        <v>-741.03600398941762</v>
      </c>
      <c r="D61" s="76">
        <v>-850.95387782492651</v>
      </c>
      <c r="E61" s="76">
        <v>-674.87205103494443</v>
      </c>
      <c r="F61" s="76">
        <v>-656.11500000000001</v>
      </c>
      <c r="G61" s="76">
        <v>-769.20899999999995</v>
      </c>
      <c r="H61" s="76">
        <v>-711.60400000000004</v>
      </c>
      <c r="I61" s="76">
        <v>-787.22299999999996</v>
      </c>
      <c r="J61" s="76">
        <v>-749.69500000000005</v>
      </c>
      <c r="K61" s="11">
        <v>-883.71400000000006</v>
      </c>
      <c r="L61" s="76">
        <v>-968.15099999999995</v>
      </c>
      <c r="M61" s="76">
        <v>-967</v>
      </c>
      <c r="N61" s="76">
        <v>-1197.566</v>
      </c>
      <c r="O61" s="11">
        <v>-1153.8910000000001</v>
      </c>
      <c r="P61" s="11">
        <v>-1315.6410000000001</v>
      </c>
      <c r="Q61" s="11">
        <v>-1351.6680000000001</v>
      </c>
      <c r="R61" s="11">
        <v>-1514.912</v>
      </c>
      <c r="S61" s="11">
        <v>-1787.1610000000001</v>
      </c>
      <c r="T61" s="11">
        <v>-1783.114</v>
      </c>
      <c r="U61" s="11">
        <v>-1897.567</v>
      </c>
      <c r="V61" s="11">
        <v>-1846.5459999999998</v>
      </c>
      <c r="W61" s="11">
        <v>-1827.18</v>
      </c>
      <c r="X61" s="11">
        <v>-1779.1420000000001</v>
      </c>
      <c r="Y61" s="11">
        <v>-1966.2950000000001</v>
      </c>
      <c r="Z61" s="11">
        <v>-1900.6220000000001</v>
      </c>
      <c r="AB61" s="18">
        <f>100*(C61-B61)/B61</f>
        <v>2.1089223638470549</v>
      </c>
      <c r="AC61" s="18">
        <f>100*(D61-C61)/C61</f>
        <v>14.83300045392647</v>
      </c>
      <c r="AD61" s="18">
        <f>100*(E61-D61)/D61</f>
        <v>-20.692287958080001</v>
      </c>
      <c r="AE61" s="18">
        <f>100*(F61-E61)/E61</f>
        <v>-2.7793492123699157</v>
      </c>
      <c r="AF61" s="18">
        <f>100*(G61-F61)/F61</f>
        <v>17.236917308703497</v>
      </c>
      <c r="AG61" s="18">
        <f>100*(H61-G61)/G61</f>
        <v>-7.4888619347927436</v>
      </c>
      <c r="AH61" s="18">
        <f>100*(I61-H61)/H61</f>
        <v>10.626556343134652</v>
      </c>
      <c r="AI61" s="18">
        <f>100*(J61-I61)/I61</f>
        <v>-4.7671371390317496</v>
      </c>
      <c r="AJ61" s="18">
        <f>100*(K61-J61)/J61</f>
        <v>17.876469764370846</v>
      </c>
      <c r="AK61" s="18">
        <f>100*(L61-K61)/K61</f>
        <v>9.5547880875486744</v>
      </c>
      <c r="AL61" s="49">
        <f>100*(O61-N61)/N61</f>
        <v>-3.6469806257024624</v>
      </c>
      <c r="AM61" s="49">
        <f>100*(P61-O61)/O61</f>
        <v>14.017788508619963</v>
      </c>
      <c r="AN61" s="49">
        <f>100*(Q61-P61)/P61</f>
        <v>2.7383609966548659</v>
      </c>
      <c r="AO61" s="49">
        <f>100*(R61-Q61)/Q61</f>
        <v>12.077226064388585</v>
      </c>
      <c r="AP61" s="49">
        <f>100*(S61-R61)/R61</f>
        <v>17.971274899136056</v>
      </c>
      <c r="AQ61" s="49">
        <f>100*(T61-S61)/S61</f>
        <v>-0.22644854045047005</v>
      </c>
      <c r="AR61" s="49">
        <f>100*(U61-T61)/T61</f>
        <v>6.4187146755619651</v>
      </c>
      <c r="AS61" s="49">
        <f>100*(V61-U61)/U61</f>
        <v>-2.6887588158942575</v>
      </c>
      <c r="AT61" s="49"/>
      <c r="AU61" s="49"/>
      <c r="AV61" s="49"/>
      <c r="AW61" s="49"/>
      <c r="AX61" s="49">
        <f>100*(EXP(LN(Z61/O61)/11)-1)</f>
        <v>4.6412249852165521</v>
      </c>
    </row>
    <row r="62" spans="1:50" ht="15" customHeight="1" x14ac:dyDescent="0.25">
      <c r="A62" s="1" t="s">
        <v>28</v>
      </c>
      <c r="B62" s="76">
        <v>176.26094693166357</v>
      </c>
      <c r="C62" s="76">
        <v>31.619330174764073</v>
      </c>
      <c r="D62" s="76">
        <v>13.966493601290336</v>
      </c>
      <c r="E62" s="76">
        <v>181.18918955283874</v>
      </c>
      <c r="F62" s="76">
        <v>12.79</v>
      </c>
      <c r="G62" s="76">
        <v>-94.497</v>
      </c>
      <c r="H62" s="76">
        <v>116.19799999999999</v>
      </c>
      <c r="I62" s="76">
        <v>69.366</v>
      </c>
      <c r="J62" s="76">
        <v>172.14699999999999</v>
      </c>
      <c r="K62" s="11">
        <v>172.63800000000001</v>
      </c>
      <c r="L62" s="76">
        <v>52.728000000000002</v>
      </c>
      <c r="M62" s="76">
        <v>116</v>
      </c>
      <c r="N62" s="76">
        <v>179.61699999999999</v>
      </c>
      <c r="O62" s="11">
        <v>6.7490000000000006</v>
      </c>
      <c r="P62" s="11">
        <v>44.7</v>
      </c>
      <c r="Q62" s="11">
        <v>463.68700000000001</v>
      </c>
      <c r="R62" s="11">
        <v>363.49</v>
      </c>
      <c r="S62" s="11">
        <v>130.93100000000001</v>
      </c>
      <c r="T62" s="11">
        <v>334.39600000000002</v>
      </c>
      <c r="U62" s="11">
        <v>250.607</v>
      </c>
      <c r="V62" s="11">
        <v>173.00399999999999</v>
      </c>
      <c r="W62" s="11">
        <v>148.751</v>
      </c>
      <c r="X62" s="11">
        <v>632.62</v>
      </c>
      <c r="Y62" s="11">
        <v>-762.13099999999997</v>
      </c>
      <c r="Z62" s="11">
        <v>456.42500000000001</v>
      </c>
      <c r="AD62" s="23"/>
      <c r="AE62" s="23"/>
      <c r="AF62" s="23"/>
      <c r="AG62" s="23"/>
      <c r="AH62" s="23"/>
      <c r="AI62" s="23"/>
      <c r="AJ62" s="23"/>
      <c r="AK62" s="23"/>
      <c r="AL62" s="47"/>
      <c r="AM62" s="47"/>
      <c r="AN62" s="47"/>
      <c r="AO62" s="47"/>
      <c r="AP62" s="47"/>
      <c r="AQ62" s="47"/>
      <c r="AR62" s="47"/>
      <c r="AX62" s="81"/>
    </row>
    <row r="63" spans="1:50" ht="15" customHeight="1" x14ac:dyDescent="0.25">
      <c r="A63" s="1" t="s">
        <v>29</v>
      </c>
      <c r="B63" s="76">
        <v>0</v>
      </c>
      <c r="C63" s="76">
        <v>0</v>
      </c>
      <c r="D63" s="76"/>
      <c r="E63" s="76">
        <v>33.00957157489492</v>
      </c>
      <c r="F63" s="76">
        <v>41.091000000000001</v>
      </c>
      <c r="G63" s="76">
        <v>46.527000000000001</v>
      </c>
      <c r="H63" s="76">
        <v>23.704000000000001</v>
      </c>
      <c r="I63" s="76">
        <v>-1.2569999999999999</v>
      </c>
      <c r="J63" s="76">
        <v>0</v>
      </c>
      <c r="K63" s="11">
        <v>17.227</v>
      </c>
      <c r="L63" s="76">
        <v>-6.859</v>
      </c>
      <c r="M63" s="76">
        <v>0</v>
      </c>
      <c r="N63" s="76">
        <v>4.0940000000000003</v>
      </c>
      <c r="O63" s="11">
        <v>5.0289999999999999</v>
      </c>
      <c r="P63" s="11">
        <v>25.821999999999999</v>
      </c>
      <c r="Q63" s="11">
        <v>-6.8660000000000005</v>
      </c>
      <c r="R63" s="11">
        <v>-9.4689999999999994</v>
      </c>
      <c r="S63" s="11">
        <v>3.524</v>
      </c>
      <c r="T63" s="11">
        <v>-7.9370000000000003</v>
      </c>
      <c r="U63" s="11">
        <v>3.0960000000000001</v>
      </c>
      <c r="V63" s="11">
        <v>0.40200000000000002</v>
      </c>
      <c r="W63" s="11">
        <v>-4.5880000000000001</v>
      </c>
      <c r="X63" s="11">
        <v>2.028</v>
      </c>
      <c r="Y63" s="11">
        <v>-2.738</v>
      </c>
      <c r="Z63" s="11">
        <v>-4.0120000000000005</v>
      </c>
      <c r="AD63" s="23"/>
      <c r="AE63" s="23"/>
      <c r="AF63" s="23"/>
      <c r="AG63" s="23"/>
      <c r="AH63" s="23"/>
      <c r="AI63" s="23"/>
      <c r="AJ63" s="23"/>
      <c r="AK63" s="23"/>
      <c r="AL63" s="47"/>
      <c r="AM63" s="47"/>
      <c r="AN63" s="47"/>
      <c r="AO63" s="47"/>
      <c r="AP63" s="47"/>
      <c r="AQ63" s="47"/>
      <c r="AR63" s="47"/>
      <c r="AX63" s="81"/>
    </row>
    <row r="64" spans="1:50" ht="15" customHeight="1" x14ac:dyDescent="0.25">
      <c r="A64" s="1" t="s">
        <v>30</v>
      </c>
      <c r="B64" s="79">
        <v>-57.352082923375264</v>
      </c>
      <c r="C64" s="79">
        <v>-35.487652483378824</v>
      </c>
      <c r="D64" s="79">
        <v>20.687114954765857</v>
      </c>
      <c r="E64" s="79">
        <v>170.46451823409404</v>
      </c>
      <c r="F64" s="79">
        <v>274.56200000000001</v>
      </c>
      <c r="G64" s="79">
        <v>-123.07899999999999</v>
      </c>
      <c r="H64" s="79">
        <v>164.43100000000001</v>
      </c>
      <c r="I64" s="79">
        <v>140.09700000000001</v>
      </c>
      <c r="J64" s="79">
        <v>187.697</v>
      </c>
      <c r="K64" s="28">
        <v>237.09399999999999</v>
      </c>
      <c r="L64" s="79">
        <v>191.71800000000002</v>
      </c>
      <c r="M64" s="79">
        <v>256</v>
      </c>
      <c r="N64" s="79">
        <v>2.7</v>
      </c>
      <c r="O64" s="28">
        <v>-132.422</v>
      </c>
      <c r="P64" s="28">
        <v>292.31900000000002</v>
      </c>
      <c r="Q64" s="28">
        <v>120.163</v>
      </c>
      <c r="R64" s="28">
        <v>166.89</v>
      </c>
      <c r="S64" s="28">
        <v>217.41</v>
      </c>
      <c r="T64" s="28">
        <v>91.430999999999997</v>
      </c>
      <c r="U64" s="28">
        <v>69.522000000000006</v>
      </c>
      <c r="V64" s="64">
        <v>175.11600000000001</v>
      </c>
      <c r="W64" s="64">
        <v>369.57</v>
      </c>
      <c r="X64" s="64">
        <v>-158.71899999999999</v>
      </c>
      <c r="Y64" s="64">
        <v>375.62</v>
      </c>
      <c r="Z64" s="28">
        <v>-174.82300000000001</v>
      </c>
      <c r="AD64" s="23"/>
      <c r="AE64" s="23"/>
      <c r="AF64" s="23"/>
      <c r="AG64" s="23"/>
      <c r="AH64" s="23"/>
      <c r="AI64" s="23"/>
      <c r="AJ64" s="23"/>
      <c r="AK64" s="23"/>
      <c r="AL64" s="47"/>
      <c r="AM64" s="47"/>
      <c r="AN64" s="47"/>
      <c r="AO64" s="47"/>
      <c r="AP64" s="47"/>
      <c r="AQ64" s="47"/>
      <c r="AR64" s="47"/>
      <c r="AX64" s="81"/>
    </row>
    <row r="65" spans="1:50" ht="17.25" customHeight="1" x14ac:dyDescent="0.25">
      <c r="A65" s="1" t="s">
        <v>40</v>
      </c>
      <c r="B65" s="76">
        <f>B57+B58+B60+B61+B62+B63+B64</f>
        <v>66.266043025835501</v>
      </c>
      <c r="C65" s="76">
        <f>C57+C58+C60+C61+C62+C63+C64</f>
        <v>-0.33637585292305516</v>
      </c>
      <c r="D65" s="76">
        <f t="shared" ref="D65:I65" si="33">D57+D58+D60+D61+D62+D63+D64</f>
        <v>-31.529686009960148</v>
      </c>
      <c r="E65" s="76">
        <f t="shared" si="33"/>
        <v>345.4361365215035</v>
      </c>
      <c r="F65" s="76">
        <f t="shared" si="33"/>
        <v>428.10599999999999</v>
      </c>
      <c r="G65" s="76">
        <f t="shared" si="33"/>
        <v>110.96699999999994</v>
      </c>
      <c r="H65" s="76">
        <f t="shared" si="33"/>
        <v>808.35799999999983</v>
      </c>
      <c r="I65" s="76">
        <f t="shared" si="33"/>
        <v>1044.9700000000003</v>
      </c>
      <c r="J65" s="76">
        <v>742.69500000000005</v>
      </c>
      <c r="K65" s="11">
        <v>484.69700000000006</v>
      </c>
      <c r="L65" s="76">
        <v>645.42200000000025</v>
      </c>
      <c r="M65" s="76">
        <v>492</v>
      </c>
      <c r="N65" s="76">
        <v>996.82100000000014</v>
      </c>
      <c r="O65" s="11">
        <v>-610.59400000000005</v>
      </c>
      <c r="P65" s="11">
        <v>700.40700000000004</v>
      </c>
      <c r="Q65" s="11">
        <v>1268.3240000000001</v>
      </c>
      <c r="R65" s="11">
        <v>1866.9460000000001</v>
      </c>
      <c r="S65" s="11">
        <v>71.944000000000003</v>
      </c>
      <c r="T65" s="11">
        <v>704.18600000000004</v>
      </c>
      <c r="U65" s="11">
        <v>537.61599999999999</v>
      </c>
      <c r="V65" s="68">
        <v>130.08199999999999</v>
      </c>
      <c r="W65" s="68">
        <v>909.08900000000006</v>
      </c>
      <c r="X65" s="68">
        <v>1591.19</v>
      </c>
      <c r="Y65" s="68">
        <v>1010.931</v>
      </c>
      <c r="Z65" s="64">
        <v>-201.096</v>
      </c>
      <c r="AD65" s="23"/>
      <c r="AE65" s="23"/>
      <c r="AF65" s="23"/>
      <c r="AG65" s="23"/>
      <c r="AH65" s="23"/>
      <c r="AI65" s="23"/>
      <c r="AJ65" s="23"/>
      <c r="AK65" s="23"/>
      <c r="AL65" s="47"/>
      <c r="AM65" s="47"/>
      <c r="AN65" s="47"/>
      <c r="AO65" s="47"/>
      <c r="AP65" s="47"/>
      <c r="AQ65" s="47"/>
      <c r="AR65" s="47"/>
      <c r="AX65" s="81"/>
    </row>
    <row r="66" spans="1:50" ht="9.75" customHeight="1" x14ac:dyDescent="0.25">
      <c r="A66" s="1"/>
      <c r="B66" s="76"/>
      <c r="C66" s="76"/>
      <c r="D66" s="76"/>
      <c r="E66" s="76"/>
      <c r="F66" s="76"/>
      <c r="G66" s="76"/>
      <c r="H66" s="76"/>
      <c r="I66" s="76"/>
      <c r="J66" s="76"/>
      <c r="K66" s="11"/>
      <c r="L66" s="76"/>
      <c r="M66" s="76"/>
      <c r="N66" s="76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D66" s="23"/>
      <c r="AE66" s="23"/>
      <c r="AF66" s="23"/>
      <c r="AG66" s="23"/>
      <c r="AH66" s="23"/>
      <c r="AI66" s="23"/>
      <c r="AJ66" s="23"/>
      <c r="AK66" s="23"/>
      <c r="AL66" s="47"/>
      <c r="AM66" s="47"/>
      <c r="AN66" s="47"/>
      <c r="AO66" s="47"/>
      <c r="AP66" s="47"/>
      <c r="AQ66" s="47"/>
      <c r="AR66" s="47"/>
      <c r="AX66" s="81"/>
    </row>
    <row r="67" spans="1:50" ht="14.25" customHeight="1" x14ac:dyDescent="0.25">
      <c r="A67" s="8" t="s">
        <v>41</v>
      </c>
      <c r="B67" s="76">
        <f>B53+B65</f>
        <v>-907.98930156599999</v>
      </c>
      <c r="C67" s="76">
        <f>C53+C65</f>
        <v>-242.69517788396038</v>
      </c>
      <c r="D67" s="76">
        <f t="shared" ref="D67:I67" si="34">D53+D65</f>
        <v>-40.636389476144771</v>
      </c>
      <c r="E67" s="76">
        <f t="shared" si="34"/>
        <v>307.01987813102812</v>
      </c>
      <c r="F67" s="76">
        <f t="shared" si="34"/>
        <v>-23.633000000000266</v>
      </c>
      <c r="G67" s="76">
        <f t="shared" si="34"/>
        <v>184.7349999999995</v>
      </c>
      <c r="H67" s="76">
        <f t="shared" si="34"/>
        <v>-67.408000000000243</v>
      </c>
      <c r="I67" s="76">
        <f t="shared" si="34"/>
        <v>-126.45199999999841</v>
      </c>
      <c r="J67" s="76">
        <v>-94.610999999999763</v>
      </c>
      <c r="K67" s="27">
        <v>741.47</v>
      </c>
      <c r="L67" s="76">
        <v>189.28099999999995</v>
      </c>
      <c r="M67" s="76">
        <v>-315.11</v>
      </c>
      <c r="N67" s="76">
        <v>110.3850000000001</v>
      </c>
      <c r="O67" s="27">
        <v>465.73700000000002</v>
      </c>
      <c r="P67" s="27">
        <v>-228.22800000000001</v>
      </c>
      <c r="Q67" s="27">
        <v>-407.00900000000001</v>
      </c>
      <c r="R67" s="27">
        <v>980.02499999999998</v>
      </c>
      <c r="S67" s="27">
        <v>-19.952999999999999</v>
      </c>
      <c r="T67" s="27">
        <v>-186.28</v>
      </c>
      <c r="U67" s="27">
        <v>471.04</v>
      </c>
      <c r="V67" s="27">
        <v>595.29399999999998</v>
      </c>
      <c r="W67" s="27">
        <v>-305.61700000000002</v>
      </c>
      <c r="X67" s="27">
        <v>157.05000000000001</v>
      </c>
      <c r="Y67" s="27">
        <v>1393.6000000000001</v>
      </c>
      <c r="Z67" s="27">
        <v>270.56900000000383</v>
      </c>
      <c r="AA67" s="27">
        <f t="shared" ref="AA67:AK67" si="35">AA53+AA65</f>
        <v>0</v>
      </c>
      <c r="AB67" s="27">
        <f t="shared" si="35"/>
        <v>0</v>
      </c>
      <c r="AC67" s="27">
        <f t="shared" si="35"/>
        <v>0</v>
      </c>
      <c r="AD67" s="27">
        <f t="shared" si="35"/>
        <v>0</v>
      </c>
      <c r="AE67" s="27">
        <f t="shared" si="35"/>
        <v>0</v>
      </c>
      <c r="AF67" s="27">
        <f t="shared" si="35"/>
        <v>0</v>
      </c>
      <c r="AG67" s="27">
        <f t="shared" si="35"/>
        <v>0</v>
      </c>
      <c r="AH67" s="27">
        <f t="shared" si="35"/>
        <v>0</v>
      </c>
      <c r="AI67" s="27">
        <f t="shared" si="35"/>
        <v>0</v>
      </c>
      <c r="AJ67" s="27">
        <f t="shared" si="35"/>
        <v>0</v>
      </c>
      <c r="AK67" s="27">
        <f t="shared" si="35"/>
        <v>0</v>
      </c>
      <c r="AL67" s="47"/>
      <c r="AM67" s="47"/>
      <c r="AN67" s="47"/>
      <c r="AO67" s="47"/>
      <c r="AP67" s="47"/>
      <c r="AQ67" s="47"/>
      <c r="AR67" s="47"/>
      <c r="AX67" s="81"/>
    </row>
    <row r="68" spans="1:50" ht="8.25" customHeight="1" x14ac:dyDescent="0.25">
      <c r="A68" s="1"/>
      <c r="B68" s="76"/>
      <c r="C68" s="76"/>
      <c r="D68" s="76"/>
      <c r="E68" s="76"/>
      <c r="F68" s="76"/>
      <c r="G68" s="76"/>
      <c r="H68" s="76"/>
      <c r="I68" s="76"/>
      <c r="J68" s="76"/>
      <c r="K68" s="11"/>
      <c r="L68" s="76"/>
      <c r="M68" s="76"/>
      <c r="N68" s="76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D68" s="23"/>
      <c r="AE68" s="23"/>
      <c r="AF68" s="23"/>
      <c r="AG68" s="23"/>
      <c r="AH68" s="23"/>
      <c r="AI68" s="23"/>
      <c r="AJ68" s="23"/>
      <c r="AK68" s="23"/>
      <c r="AL68" s="47"/>
      <c r="AM68" s="47"/>
      <c r="AN68" s="47"/>
      <c r="AO68" s="47"/>
      <c r="AP68" s="47"/>
      <c r="AQ68" s="47"/>
      <c r="AR68" s="47"/>
      <c r="AX68" s="81"/>
    </row>
    <row r="69" spans="1:50" ht="14.25" customHeight="1" x14ac:dyDescent="0.25">
      <c r="A69" s="1" t="s">
        <v>42</v>
      </c>
      <c r="B69" s="76">
        <v>2239.2540529085577</v>
      </c>
      <c r="C69" s="76">
        <v>2167.9423720888772</v>
      </c>
      <c r="D69" s="76">
        <v>2236.7093695811955</v>
      </c>
      <c r="E69" s="76">
        <v>2666.3743560504763</v>
      </c>
      <c r="F69" s="76">
        <v>2659.8560000000002</v>
      </c>
      <c r="G69" s="76">
        <v>2819.0230000000001</v>
      </c>
      <c r="H69" s="76">
        <v>2765.627</v>
      </c>
      <c r="I69" s="76">
        <v>2641.152</v>
      </c>
      <c r="J69" s="76">
        <v>2538.5479999999998</v>
      </c>
      <c r="K69" s="11">
        <v>3525.0070000000001</v>
      </c>
      <c r="L69" s="76">
        <v>3727.087</v>
      </c>
      <c r="M69" s="76">
        <v>3411</v>
      </c>
      <c r="N69" s="76">
        <v>3548.0590000000002</v>
      </c>
      <c r="O69" s="11">
        <v>3978.1019999999999</v>
      </c>
      <c r="P69" s="11">
        <v>3752.8070000000002</v>
      </c>
      <c r="Q69" s="11">
        <v>3340.0059999999999</v>
      </c>
      <c r="R69" s="11">
        <v>4323.5969999999998</v>
      </c>
      <c r="S69" s="11">
        <v>4304.05</v>
      </c>
      <c r="T69" s="11">
        <v>4114.3829999999998</v>
      </c>
      <c r="U69" s="11">
        <v>4586.9250000000002</v>
      </c>
      <c r="V69" s="11">
        <v>5182.3069999999998</v>
      </c>
      <c r="W69" s="11">
        <v>4876.78</v>
      </c>
      <c r="X69" s="11">
        <v>5060.9189999999999</v>
      </c>
      <c r="Y69" s="11">
        <v>6454.5370000000003</v>
      </c>
      <c r="Z69" s="11">
        <v>6497.0360000000001</v>
      </c>
      <c r="AB69" s="18">
        <f>100*(C69-B69)/B69</f>
        <v>-3.1846176956586989</v>
      </c>
      <c r="AC69" s="18">
        <f>100*(D69-C69)/C69</f>
        <v>3.1719937936384923</v>
      </c>
      <c r="AD69" s="18">
        <f>100*(E69-D69)/D69</f>
        <v>19.209692252048459</v>
      </c>
      <c r="AE69" s="18">
        <f>100*(F69-E69)/E69</f>
        <v>-0.24446514930226435</v>
      </c>
      <c r="AF69" s="18">
        <f>100*(G69-F69)/F69</f>
        <v>5.984045752852782</v>
      </c>
      <c r="AG69" s="18">
        <f>100*(H69-G69)/G69</f>
        <v>-1.8941314065192154</v>
      </c>
      <c r="AH69" s="18">
        <f>100*(I69-H69)/H69</f>
        <v>-4.5007877056450454</v>
      </c>
      <c r="AI69" s="18">
        <f>100*(J69-I69)/I69</f>
        <v>-3.8848199573519535</v>
      </c>
      <c r="AJ69" s="18">
        <f>100*(K69-J69)/J69</f>
        <v>38.859182493299329</v>
      </c>
      <c r="AK69" s="18">
        <f>100*(L69-K69)/K69</f>
        <v>5.7327545732533274</v>
      </c>
      <c r="AL69" s="49">
        <f>100*(O69-N69)/N69</f>
        <v>12.120514343194396</v>
      </c>
      <c r="AM69" s="49">
        <f>100*(P69-O69)/O69</f>
        <v>-5.6633791692621163</v>
      </c>
      <c r="AN69" s="49">
        <f>100*(Q69-P69)/P69</f>
        <v>-10.999792954980107</v>
      </c>
      <c r="AO69" s="49">
        <f>100*(R69-Q69)/Q69</f>
        <v>29.448779433330358</v>
      </c>
      <c r="AP69" s="49">
        <f>100*(S69-R69)/R69</f>
        <v>-0.45210041546424357</v>
      </c>
      <c r="AQ69" s="49">
        <f>100*(T69-S69)/S69</f>
        <v>-4.4067099592244601</v>
      </c>
      <c r="AR69" s="49">
        <f>100*(U69-T69)/T69</f>
        <v>11.485124257999326</v>
      </c>
      <c r="AS69" s="49">
        <f>100*(V69-U69)/U69</f>
        <v>12.979981142050493</v>
      </c>
      <c r="AT69" s="49"/>
      <c r="AU69" s="49"/>
      <c r="AV69" s="49"/>
      <c r="AW69" s="49"/>
      <c r="AX69" s="49">
        <f>100*(EXP(LN(Z69/O69)/11)-1)</f>
        <v>4.5603948113840387</v>
      </c>
    </row>
    <row r="70" spans="1:50" ht="8.25" customHeight="1" x14ac:dyDescent="0.25">
      <c r="A70" s="1"/>
      <c r="B70" s="76"/>
      <c r="C70" s="76"/>
      <c r="D70" s="76"/>
      <c r="E70" s="76"/>
      <c r="F70" s="76"/>
      <c r="G70" s="76"/>
      <c r="H70" s="76"/>
      <c r="I70" s="76"/>
      <c r="J70" s="76"/>
      <c r="K70" s="11"/>
      <c r="L70" s="76"/>
      <c r="M70" s="76"/>
      <c r="N70" s="7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D70" s="23"/>
      <c r="AE70" s="23"/>
      <c r="AF70" s="23"/>
      <c r="AG70" s="23"/>
      <c r="AH70" s="23"/>
      <c r="AI70" s="23"/>
      <c r="AJ70" s="23"/>
      <c r="AK70" s="23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81"/>
    </row>
    <row r="71" spans="1:50" ht="14.25" customHeight="1" x14ac:dyDescent="0.25">
      <c r="A71" s="1" t="s">
        <v>31</v>
      </c>
      <c r="B71" s="76">
        <v>3822.4070046907614</v>
      </c>
      <c r="C71" s="76">
        <v>3830.311837234452</v>
      </c>
      <c r="D71" s="76">
        <v>3667.4430221352122</v>
      </c>
      <c r="E71" s="76">
        <v>3836.3153049331199</v>
      </c>
      <c r="F71" s="76">
        <v>4051.373</v>
      </c>
      <c r="G71" s="76">
        <v>4485.0659999999998</v>
      </c>
      <c r="H71" s="76">
        <v>5214.7309999999998</v>
      </c>
      <c r="I71" s="76">
        <v>6152.5479999999998</v>
      </c>
      <c r="J71" s="76">
        <v>7094.9719999999998</v>
      </c>
      <c r="K71" s="11">
        <v>7713.768</v>
      </c>
      <c r="L71" s="76">
        <v>8199.7480000000014</v>
      </c>
      <c r="M71" s="76">
        <v>8677</v>
      </c>
      <c r="N71" s="76">
        <v>9835.8430000000008</v>
      </c>
      <c r="O71" s="11">
        <v>10459.031000000001</v>
      </c>
      <c r="P71" s="11">
        <v>10947.669</v>
      </c>
      <c r="Q71" s="11">
        <v>12212.446</v>
      </c>
      <c r="R71" s="11">
        <v>13786.842000000001</v>
      </c>
      <c r="S71" s="11">
        <v>14677.147000000001</v>
      </c>
      <c r="T71" s="11">
        <v>15504.383</v>
      </c>
      <c r="U71" s="11">
        <v>16088.92</v>
      </c>
      <c r="V71" s="11">
        <v>16125.61</v>
      </c>
      <c r="W71" s="11">
        <v>16755</v>
      </c>
      <c r="X71" s="11">
        <v>18399.990000000002</v>
      </c>
      <c r="Y71" s="11">
        <v>19012.43</v>
      </c>
      <c r="Z71" s="11">
        <v>19094.920000000002</v>
      </c>
      <c r="AB71" s="18">
        <f>100*(C71-B71)/B71</f>
        <v>0.20680248162976977</v>
      </c>
      <c r="AC71" s="18">
        <f>100*(D71-C71)/C71</f>
        <v>-4.2521032756652453</v>
      </c>
      <c r="AD71" s="18">
        <f>100*(E71-D71)/D71</f>
        <v>4.604632758536737</v>
      </c>
      <c r="AE71" s="18">
        <f>100*(F71-E71)/E71</f>
        <v>5.6058399264090024</v>
      </c>
      <c r="AF71" s="18">
        <f>100*(G71-F71)/F71</f>
        <v>10.704840062862633</v>
      </c>
      <c r="AG71" s="18">
        <f>100*(H71-G71)/G71</f>
        <v>16.268768397165172</v>
      </c>
      <c r="AH71" s="18">
        <f>100*(I71-H71)/H71</f>
        <v>17.983995722885801</v>
      </c>
      <c r="AI71" s="18">
        <f>100*(J71-I71)/I71</f>
        <v>15.317621252203152</v>
      </c>
      <c r="AJ71" s="18">
        <f>100*(K71-J71)/J71</f>
        <v>8.7216129957947732</v>
      </c>
      <c r="AK71" s="18">
        <f>100*(L71-K71)/K71</f>
        <v>6.3001635517168957</v>
      </c>
      <c r="AL71" s="49">
        <f>100*(O71-N71)/N71</f>
        <v>6.3358880372531372</v>
      </c>
      <c r="AM71" s="49">
        <f>100*(P71-O71)/O71</f>
        <v>4.671924196419333</v>
      </c>
      <c r="AN71" s="49">
        <f>100*(Q71-P71)/P71</f>
        <v>11.552934236502768</v>
      </c>
      <c r="AO71" s="49">
        <f>100*(R71-Q71)/Q71</f>
        <v>12.891733564267147</v>
      </c>
      <c r="AP71" s="49">
        <f>100*(S71-R71)/R71</f>
        <v>6.4576427292051379</v>
      </c>
      <c r="AQ71" s="49">
        <f>100*(T71-S71)/S71</f>
        <v>5.6362179925022131</v>
      </c>
      <c r="AR71" s="49">
        <f>100*(U71-T71)/T71</f>
        <v>3.7701403532149604</v>
      </c>
      <c r="AS71" s="49">
        <f>100*(V71-U71)/U71</f>
        <v>0.22804513913923688</v>
      </c>
      <c r="AT71" s="49"/>
      <c r="AU71" s="49"/>
      <c r="AV71" s="49"/>
      <c r="AW71" s="49"/>
      <c r="AX71" s="49">
        <f>100*(EXP(LN(Z71/O71)/11)-1)</f>
        <v>5.6248331009779662</v>
      </c>
    </row>
    <row r="72" spans="1:50" ht="7.5" customHeight="1" x14ac:dyDescent="0.25">
      <c r="A72" s="1"/>
      <c r="D72" s="76"/>
      <c r="E72" s="76"/>
      <c r="F72" s="76"/>
      <c r="G72" s="76"/>
      <c r="H72" s="76"/>
      <c r="I72" s="76"/>
      <c r="J72" s="76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D72" s="23"/>
      <c r="AE72" s="23"/>
      <c r="AF72" s="23"/>
      <c r="AG72" s="23"/>
      <c r="AH72" s="23"/>
      <c r="AI72" s="23"/>
      <c r="AJ72" s="23"/>
      <c r="AK72" s="23"/>
      <c r="AL72" s="47"/>
      <c r="AM72" s="47"/>
      <c r="AN72" s="47"/>
      <c r="AO72" s="47"/>
      <c r="AP72" s="47"/>
      <c r="AQ72" s="47"/>
      <c r="AR72" s="47"/>
      <c r="AS72" s="51"/>
      <c r="AT72" s="51"/>
      <c r="AU72" s="51"/>
      <c r="AV72" s="51"/>
      <c r="AW72" s="51"/>
    </row>
    <row r="73" spans="1:50" ht="13.5" x14ac:dyDescent="0.25">
      <c r="A73" s="4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>
        <f t="shared" ref="AA73" si="36">AA69-X69</f>
        <v>-5060.9189999999999</v>
      </c>
      <c r="AD73" s="23"/>
      <c r="AE73" s="23"/>
      <c r="AF73" s="23"/>
      <c r="AG73" s="23"/>
      <c r="AH73" s="23"/>
      <c r="AI73" s="23"/>
      <c r="AJ73" s="23"/>
      <c r="AK73" s="23"/>
      <c r="AL73" s="47"/>
      <c r="AM73" s="47"/>
      <c r="AN73" s="47"/>
      <c r="AO73" s="47"/>
      <c r="AP73" s="47"/>
      <c r="AQ73" s="47"/>
      <c r="AR73" s="47"/>
      <c r="AS73" s="51"/>
      <c r="AT73" s="51"/>
      <c r="AU73" s="51"/>
      <c r="AV73" s="51"/>
      <c r="AW73" s="51"/>
    </row>
    <row r="74" spans="1:50" x14ac:dyDescent="0.2">
      <c r="A74" s="25"/>
      <c r="B74" s="88"/>
      <c r="C74" s="77"/>
      <c r="D74" s="77"/>
      <c r="E74" s="77"/>
      <c r="F74" s="77"/>
      <c r="G74" s="77"/>
      <c r="H74" s="77"/>
      <c r="I74" s="77"/>
      <c r="J74" s="77"/>
      <c r="K74" s="41"/>
      <c r="L74" s="41"/>
      <c r="M74" s="41"/>
      <c r="N74" s="41"/>
      <c r="O74" s="41"/>
      <c r="P74" s="41"/>
      <c r="Q74" s="41"/>
      <c r="R74" s="41"/>
      <c r="S74" s="25"/>
      <c r="T74" s="25"/>
      <c r="U74" s="25"/>
      <c r="V74" s="25"/>
      <c r="W74" s="41"/>
      <c r="X74" s="25"/>
      <c r="Y74" s="25"/>
      <c r="Z74" s="25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50" x14ac:dyDescent="0.2">
      <c r="A75" s="25"/>
      <c r="B75" s="88"/>
      <c r="C75" s="88"/>
      <c r="D75" s="88"/>
      <c r="E75" s="88"/>
      <c r="F75" s="88"/>
      <c r="G75" s="88"/>
      <c r="H75" s="88"/>
      <c r="I75" s="88"/>
      <c r="J75" s="88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</row>
    <row r="76" spans="1:50" x14ac:dyDescent="0.2"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</row>
    <row r="77" spans="1:50" x14ac:dyDescent="0.2"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</row>
    <row r="78" spans="1:50" x14ac:dyDescent="0.2"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</row>
    <row r="79" spans="1:50" x14ac:dyDescent="0.2"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</row>
    <row r="80" spans="1:50" x14ac:dyDescent="0.2"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</row>
    <row r="81" spans="30:44" x14ac:dyDescent="0.2"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</row>
    <row r="82" spans="30:44" x14ac:dyDescent="0.2"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</row>
    <row r="83" spans="30:44" x14ac:dyDescent="0.2"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</row>
    <row r="84" spans="30:44" x14ac:dyDescent="0.2"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</row>
    <row r="85" spans="30:44" x14ac:dyDescent="0.2"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30:44" x14ac:dyDescent="0.2"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30:44" x14ac:dyDescent="0.2"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30:44" x14ac:dyDescent="0.2"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30:44" x14ac:dyDescent="0.2"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30:44" x14ac:dyDescent="0.2"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30:44" x14ac:dyDescent="0.2"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30:44" x14ac:dyDescent="0.2"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30:44" x14ac:dyDescent="0.2">
      <c r="AD93" s="17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30:44" x14ac:dyDescent="0.2">
      <c r="AD94" s="17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30:44" x14ac:dyDescent="0.2">
      <c r="AD95" s="17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</row>
    <row r="96" spans="30:44" x14ac:dyDescent="0.2">
      <c r="AD96" s="17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</row>
    <row r="97" spans="30:44" x14ac:dyDescent="0.2">
      <c r="AD97" s="17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</row>
  </sheetData>
  <phoneticPr fontId="6" type="noConversion"/>
  <pageMargins left="0.19685039370078741" right="0.11811023622047245" top="0.74803149606299213" bottom="0.62992125984251968" header="0.51181102362204722" footer="0.27559055118110237"/>
  <pageSetup paperSize="9" scale="93" fitToHeight="0" orientation="landscape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2:AZ75"/>
  <sheetViews>
    <sheetView workbookViewId="0">
      <pane xSplit="1" ySplit="8" topLeftCell="B33" activePane="bottomRight" state="frozen"/>
      <selection activeCell="AT7" sqref="AT7"/>
      <selection pane="topRight" activeCell="AT7" sqref="AT7"/>
      <selection pane="bottomLeft" activeCell="AT7" sqref="AT7"/>
      <selection pane="bottomRight" activeCell="A4" sqref="A4"/>
    </sheetView>
  </sheetViews>
  <sheetFormatPr defaultRowHeight="12.75" x14ac:dyDescent="0.2"/>
  <cols>
    <col min="1" max="1" width="64.28515625" customWidth="1"/>
    <col min="2" max="10" width="7.140625" style="75" hidden="1" customWidth="1"/>
    <col min="11" max="11" width="0.140625" style="75" hidden="1" customWidth="1"/>
    <col min="12" max="14" width="6.7109375" style="75" hidden="1" customWidth="1"/>
    <col min="15" max="15" width="7.28515625" customWidth="1"/>
    <col min="16" max="16" width="8" customWidth="1"/>
    <col min="17" max="17" width="7.140625" customWidth="1"/>
    <col min="18" max="18" width="7" customWidth="1"/>
    <col min="19" max="26" width="7.28515625" customWidth="1"/>
    <col min="27" max="27" width="1.28515625" customWidth="1"/>
    <col min="28" max="36" width="5.7109375" hidden="1" customWidth="1"/>
    <col min="37" max="37" width="5.5703125" hidden="1" customWidth="1"/>
    <col min="38" max="39" width="4.7109375" hidden="1" customWidth="1"/>
    <col min="40" max="44" width="4.7109375" customWidth="1"/>
    <col min="45" max="51" width="5.28515625" customWidth="1"/>
    <col min="52" max="52" width="7.28515625" customWidth="1"/>
  </cols>
  <sheetData>
    <row r="2" spans="1:52" x14ac:dyDescent="0.2">
      <c r="A2" s="7" t="s">
        <v>57</v>
      </c>
      <c r="B2" s="84"/>
      <c r="C2" s="84"/>
    </row>
    <row r="3" spans="1:52" ht="18" x14ac:dyDescent="0.25">
      <c r="A3" s="5" t="s">
        <v>51</v>
      </c>
      <c r="B3" s="85"/>
      <c r="C3" s="85"/>
    </row>
    <row r="4" spans="1:52" ht="14.25" x14ac:dyDescent="0.2">
      <c r="A4" s="6" t="s">
        <v>56</v>
      </c>
      <c r="B4" s="86"/>
      <c r="C4" s="86"/>
      <c r="V4" s="1"/>
      <c r="W4" s="1"/>
      <c r="X4" s="1"/>
      <c r="Y4" s="1"/>
      <c r="Z4" s="1"/>
    </row>
    <row r="6" spans="1:52" ht="13.5" x14ac:dyDescent="0.25">
      <c r="A6" s="8" t="s">
        <v>0</v>
      </c>
      <c r="B6" s="74">
        <v>1997</v>
      </c>
      <c r="C6" s="74">
        <v>1998</v>
      </c>
      <c r="D6" s="74">
        <v>1999</v>
      </c>
      <c r="E6" s="74">
        <v>2000</v>
      </c>
      <c r="F6" s="74">
        <v>2001</v>
      </c>
      <c r="G6" s="74">
        <v>2002</v>
      </c>
      <c r="H6" s="74">
        <v>2003</v>
      </c>
      <c r="I6" s="74">
        <v>2004</v>
      </c>
      <c r="J6" s="74">
        <v>2005</v>
      </c>
      <c r="K6" s="74">
        <v>2006</v>
      </c>
      <c r="L6" s="74">
        <v>2007</v>
      </c>
      <c r="M6" s="74">
        <v>2008</v>
      </c>
      <c r="N6" s="74">
        <v>2009</v>
      </c>
      <c r="O6" s="12">
        <v>2010</v>
      </c>
      <c r="P6" s="12">
        <v>2011</v>
      </c>
      <c r="Q6" s="12">
        <v>2012</v>
      </c>
      <c r="R6" s="12">
        <v>2013</v>
      </c>
      <c r="S6" s="12">
        <v>2014</v>
      </c>
      <c r="T6" s="12">
        <v>2015</v>
      </c>
      <c r="U6" s="12">
        <v>2016</v>
      </c>
      <c r="V6" s="12">
        <v>2017</v>
      </c>
      <c r="W6" s="12">
        <v>2018</v>
      </c>
      <c r="X6" s="12">
        <v>2019</v>
      </c>
      <c r="Y6" s="12">
        <v>2020</v>
      </c>
      <c r="Z6" s="12">
        <v>2021</v>
      </c>
      <c r="AB6" s="19" t="s">
        <v>32</v>
      </c>
      <c r="AC6" s="40"/>
      <c r="AD6" s="40"/>
      <c r="AE6" s="40"/>
      <c r="AF6" s="40"/>
      <c r="AG6" s="40"/>
      <c r="AH6" s="40"/>
      <c r="AI6" s="40"/>
      <c r="AJ6" s="40"/>
      <c r="AL6" s="53" t="s">
        <v>32</v>
      </c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8"/>
    </row>
    <row r="7" spans="1:52" ht="13.5" x14ac:dyDescent="0.25">
      <c r="A7" s="1"/>
      <c r="O7" s="3"/>
      <c r="P7" s="3"/>
      <c r="Q7" s="3"/>
      <c r="R7" s="3"/>
      <c r="S7" s="3"/>
      <c r="T7" s="3"/>
      <c r="U7" s="3"/>
      <c r="V7" s="3"/>
      <c r="AB7" s="22">
        <v>1998</v>
      </c>
      <c r="AC7" s="22">
        <v>1999</v>
      </c>
      <c r="AD7" s="22">
        <v>2000</v>
      </c>
      <c r="AE7" s="22">
        <v>2001</v>
      </c>
      <c r="AF7" s="22">
        <v>2002</v>
      </c>
      <c r="AG7" s="22">
        <v>2003</v>
      </c>
      <c r="AH7" s="22">
        <v>2004</v>
      </c>
      <c r="AI7" s="22">
        <v>2005</v>
      </c>
      <c r="AJ7" s="22">
        <v>2006</v>
      </c>
      <c r="AK7" s="22">
        <v>2007</v>
      </c>
      <c r="AL7" s="59">
        <v>2008</v>
      </c>
      <c r="AM7" s="59">
        <v>2009</v>
      </c>
      <c r="AN7" s="59">
        <v>2010</v>
      </c>
      <c r="AO7" s="59">
        <v>2011</v>
      </c>
      <c r="AP7" s="59">
        <v>2012</v>
      </c>
      <c r="AQ7" s="59">
        <v>2013</v>
      </c>
      <c r="AR7" s="59">
        <v>2014</v>
      </c>
      <c r="AS7" s="59">
        <v>2015</v>
      </c>
      <c r="AT7" s="59">
        <v>2016</v>
      </c>
      <c r="AU7" s="59">
        <v>2017</v>
      </c>
      <c r="AV7" s="59">
        <v>2018</v>
      </c>
      <c r="AW7" s="59">
        <v>2019</v>
      </c>
      <c r="AX7" s="59">
        <v>2020</v>
      </c>
      <c r="AY7" s="59">
        <v>2021</v>
      </c>
      <c r="AZ7" s="46" t="s">
        <v>49</v>
      </c>
    </row>
    <row r="8" spans="1:52" ht="13.5" x14ac:dyDescent="0.25">
      <c r="A8" s="1"/>
      <c r="AD8" s="23"/>
      <c r="AE8" s="23"/>
      <c r="AF8" s="23"/>
      <c r="AG8" s="23"/>
      <c r="AH8" s="23"/>
      <c r="AI8" s="23"/>
      <c r="AJ8" s="23"/>
      <c r="AK8" s="23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6" t="s">
        <v>33</v>
      </c>
    </row>
    <row r="9" spans="1:52" ht="13.5" x14ac:dyDescent="0.25">
      <c r="A9" s="1"/>
      <c r="AD9" s="23"/>
      <c r="AE9" s="23"/>
      <c r="AF9" s="23"/>
      <c r="AG9" s="23"/>
      <c r="AH9" s="23"/>
      <c r="AI9" s="23"/>
      <c r="AJ9" s="23"/>
      <c r="AK9" s="23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</row>
    <row r="10" spans="1:52" ht="15" customHeight="1" x14ac:dyDescent="0.25">
      <c r="A10" s="1" t="s">
        <v>1</v>
      </c>
      <c r="B10" s="76">
        <v>5051.3561833450221</v>
      </c>
      <c r="C10" s="76">
        <v>5172.7878662502335</v>
      </c>
      <c r="D10" s="76">
        <f>5354.61061972205-183.742</f>
        <v>5170.8686197220495</v>
      </c>
      <c r="E10" s="76">
        <f>5738.43363220328-189.124</f>
        <v>5549.3096322032798</v>
      </c>
      <c r="F10" s="76">
        <f>6038.436-203.979</f>
        <v>5834.4569999999994</v>
      </c>
      <c r="G10" s="76">
        <f>6468.422-214.943</f>
        <v>6253.4789999999994</v>
      </c>
      <c r="H10" s="76">
        <f>6887.548-235.346</f>
        <v>6652.2019999999993</v>
      </c>
      <c r="I10" s="76">
        <v>7086.2460000000001</v>
      </c>
      <c r="J10" s="76">
        <v>7794.0540000000001</v>
      </c>
      <c r="K10" s="76">
        <v>8112.56</v>
      </c>
      <c r="L10" s="76">
        <v>8520.744999999999</v>
      </c>
      <c r="M10" s="76">
        <v>9336</v>
      </c>
      <c r="N10" s="76">
        <v>9514.4539999999997</v>
      </c>
      <c r="O10" s="3">
        <v>10729.014000000001</v>
      </c>
      <c r="P10" s="3">
        <v>11337.772000000001</v>
      </c>
      <c r="Q10" s="3">
        <v>11824.323999999999</v>
      </c>
      <c r="R10" s="3">
        <v>12237.214</v>
      </c>
      <c r="S10" s="3">
        <v>12291.456</v>
      </c>
      <c r="T10" s="3">
        <v>12265.664999999999</v>
      </c>
      <c r="U10" s="3">
        <v>12403.640000000001</v>
      </c>
      <c r="V10" s="3">
        <v>13464.642999999998</v>
      </c>
      <c r="W10" s="3">
        <v>14128</v>
      </c>
      <c r="X10" s="3">
        <v>15524.712000000001</v>
      </c>
      <c r="Y10" s="3">
        <v>15962.915000000001</v>
      </c>
      <c r="Z10" s="3">
        <v>17022.227999999999</v>
      </c>
      <c r="AA10" s="3"/>
      <c r="AB10" s="18">
        <f>100*(C10-B10)/B10</f>
        <v>2.403942198841321</v>
      </c>
      <c r="AC10" s="18">
        <f>100*(D10-C10)/C10</f>
        <v>-3.7102749577381036E-2</v>
      </c>
      <c r="AD10" s="18">
        <f>100*(E10-D10)/D10</f>
        <v>7.3187125860794486</v>
      </c>
      <c r="AE10" s="18">
        <f>100*(F10-E10)/E10</f>
        <v>5.1384295830597884</v>
      </c>
      <c r="AF10" s="18">
        <f>100*(G10-F10)/F10</f>
        <v>7.1818508560436731</v>
      </c>
      <c r="AG10" s="18">
        <f>100*(H10-G10)/G10</f>
        <v>6.3760188528657409</v>
      </c>
      <c r="AH10" s="18">
        <f>100*(I10-H10)/H10</f>
        <v>6.5248168952175662</v>
      </c>
      <c r="AI10" s="18">
        <f>100*(J10-I10)/I10</f>
        <v>9.9884762679703751</v>
      </c>
      <c r="AJ10" s="18">
        <f>100*(K10-J10)/J10</f>
        <v>4.0865254461927041</v>
      </c>
      <c r="AK10" s="18">
        <f>100*(L10-K10)/K10</f>
        <v>5.031519027286067</v>
      </c>
      <c r="AL10" s="49">
        <f>100*(M10-L10)/L10</f>
        <v>9.5678840289200195</v>
      </c>
      <c r="AM10" s="49">
        <f>100*(N10-M10)/M10</f>
        <v>1.9114610111396715</v>
      </c>
      <c r="AN10" s="49">
        <f>100*(O10-N10)/N10</f>
        <v>12.765419854886064</v>
      </c>
      <c r="AO10" s="49">
        <f>100*(P10-O10)/O10</f>
        <v>5.673941706106449</v>
      </c>
      <c r="AP10" s="49">
        <f>100*(Q10-P10)/P10</f>
        <v>4.2914251583115082</v>
      </c>
      <c r="AQ10" s="49">
        <f>100*(R10-Q10)/Q10</f>
        <v>3.4918698100627257</v>
      </c>
      <c r="AR10" s="49">
        <f>100*(S10-R10)/R10</f>
        <v>0.44325448586582034</v>
      </c>
      <c r="AS10" s="49">
        <f>100*(T10-S10)/S10</f>
        <v>-0.20982868099597865</v>
      </c>
      <c r="AT10" s="49">
        <f>100*(U10-T10)/T10</f>
        <v>1.1248880513205128</v>
      </c>
      <c r="AU10" s="49">
        <f>100*(V10-U10)/U10</f>
        <v>8.5539648038801257</v>
      </c>
      <c r="AV10" s="49">
        <f>100*(W10-V10)/V10</f>
        <v>4.9266586570472155</v>
      </c>
      <c r="AW10" s="49">
        <f>100*(X10-W10)/W10</f>
        <v>9.8861268403171092</v>
      </c>
      <c r="AX10" s="49">
        <f>100*(Y10-X10)/X10</f>
        <v>2.8226159686569354</v>
      </c>
      <c r="AY10" s="49">
        <f>100*(Z10-Y10)/Y10</f>
        <v>6.63608745645766</v>
      </c>
      <c r="AZ10" s="50">
        <f>100*(EXP(LN(Z10/O10)/11)-1)</f>
        <v>4.2853556266943871</v>
      </c>
    </row>
    <row r="11" spans="1:52" ht="15" customHeight="1" x14ac:dyDescent="0.25">
      <c r="A11" s="1" t="s">
        <v>2</v>
      </c>
      <c r="B11" s="76">
        <v>0.67275170584604416</v>
      </c>
      <c r="C11" s="76">
        <v>1.1773154852305772</v>
      </c>
      <c r="D11" s="76">
        <v>1.4393522746576113</v>
      </c>
      <c r="E11" s="76">
        <v>2.1664286807507236</v>
      </c>
      <c r="F11" s="76">
        <v>2.06</v>
      </c>
      <c r="G11" s="76">
        <v>2.8119999999999998</v>
      </c>
      <c r="H11" s="76">
        <v>3.7540000000000004</v>
      </c>
      <c r="I11" s="76">
        <v>4.024</v>
      </c>
      <c r="J11" s="76">
        <v>4.6319999999999997</v>
      </c>
      <c r="K11" s="76">
        <v>5.5549999999999997</v>
      </c>
      <c r="L11" s="76">
        <v>6.702</v>
      </c>
      <c r="M11" s="76">
        <v>8</v>
      </c>
      <c r="N11" s="76">
        <v>7.6</v>
      </c>
      <c r="O11" s="3">
        <v>9.3350000000000009</v>
      </c>
      <c r="P11" s="3">
        <v>10.956</v>
      </c>
      <c r="Q11" s="3">
        <v>10.611000000000001</v>
      </c>
      <c r="R11" s="3">
        <v>10.69</v>
      </c>
      <c r="S11" s="3">
        <v>10.365</v>
      </c>
      <c r="T11" s="3">
        <v>6.2759999999999998</v>
      </c>
      <c r="U11" s="3">
        <v>7.32</v>
      </c>
      <c r="V11" s="3">
        <v>8.6039999999999992</v>
      </c>
      <c r="W11" s="3">
        <v>9</v>
      </c>
      <c r="X11" s="3">
        <v>9.1</v>
      </c>
      <c r="Y11" s="3">
        <v>10.74</v>
      </c>
      <c r="Z11" s="3">
        <v>10.064</v>
      </c>
      <c r="AD11" s="23"/>
      <c r="AE11" s="23"/>
      <c r="AF11" s="23"/>
      <c r="AG11" s="23"/>
      <c r="AH11" s="23"/>
      <c r="AI11" s="23"/>
      <c r="AJ11" s="23"/>
      <c r="AK11" s="23"/>
      <c r="AL11" s="47"/>
      <c r="AM11" s="47"/>
      <c r="AN11" s="47"/>
      <c r="AO11" s="47"/>
      <c r="AP11" s="47"/>
      <c r="AQ11" s="49"/>
      <c r="AR11" s="49"/>
      <c r="AS11" s="49"/>
      <c r="AT11" s="49"/>
      <c r="AU11" s="49"/>
      <c r="AV11" s="49"/>
      <c r="AW11" s="49"/>
      <c r="AX11" s="49"/>
      <c r="AY11" s="49"/>
      <c r="AZ11" s="50"/>
    </row>
    <row r="12" spans="1:52" ht="15" customHeight="1" x14ac:dyDescent="0.25">
      <c r="A12" s="1" t="s">
        <v>3</v>
      </c>
      <c r="B12" s="76">
        <v>-4727.2580490536902</v>
      </c>
      <c r="C12" s="76">
        <v>-4901.5007408678157</v>
      </c>
      <c r="D12" s="76">
        <f>-5049.40671708941+183.742</f>
        <v>-4865.6647170894103</v>
      </c>
      <c r="E12" s="76">
        <f>-5478.48910058143+189.124</f>
        <v>-5289.3651005814299</v>
      </c>
      <c r="F12" s="76">
        <f>-5768.048+203.979</f>
        <v>-5564.0689999999995</v>
      </c>
      <c r="G12" s="76">
        <f>-6162.942+214.943</f>
        <v>-5947.9989999999998</v>
      </c>
      <c r="H12" s="76">
        <f>-6533.734+235.346</f>
        <v>-6298.3880000000008</v>
      </c>
      <c r="I12" s="76">
        <v>-6726.91</v>
      </c>
      <c r="J12" s="76">
        <v>-7411.9449999999997</v>
      </c>
      <c r="K12" s="76">
        <v>-7712.4589999999998</v>
      </c>
      <c r="L12" s="76">
        <v>-8130.07</v>
      </c>
      <c r="M12" s="76">
        <v>-8835.56</v>
      </c>
      <c r="N12" s="76">
        <v>-8988.7929999999997</v>
      </c>
      <c r="O12" s="3">
        <v>-10095.795</v>
      </c>
      <c r="P12" s="3">
        <v>-10771.664000000001</v>
      </c>
      <c r="Q12" s="3">
        <v>-11291.476000000001</v>
      </c>
      <c r="R12" s="3">
        <v>-11525.404999999999</v>
      </c>
      <c r="S12" s="3">
        <v>-11542.257</v>
      </c>
      <c r="T12" s="3">
        <v>-11400.005000000001</v>
      </c>
      <c r="U12" s="3">
        <v>-11616.757000000001</v>
      </c>
      <c r="V12" s="3">
        <v>-12719.346</v>
      </c>
      <c r="W12" s="3">
        <v>-13465.152</v>
      </c>
      <c r="X12" s="3">
        <v>-14870.785</v>
      </c>
      <c r="Y12" s="3">
        <v>-15258.623</v>
      </c>
      <c r="Z12" s="3">
        <v>-16163.287</v>
      </c>
      <c r="AA12" s="3"/>
      <c r="AB12" s="18">
        <f>100*(C12-B12)/B12</f>
        <v>3.6859145408617082</v>
      </c>
      <c r="AC12" s="18">
        <f>100*(D12-C12)/C12</f>
        <v>-0.73112350018865102</v>
      </c>
      <c r="AD12" s="18">
        <f>100*(E12-D12)/D12</f>
        <v>8.707965059817619</v>
      </c>
      <c r="AE12" s="18">
        <f>100*(F12-E12)/E12</f>
        <v>5.1935136674224456</v>
      </c>
      <c r="AF12" s="18">
        <f>100*(G12-F12)/F12</f>
        <v>6.9001660475454267</v>
      </c>
      <c r="AG12" s="18">
        <f>100*(H12-G12)/G12</f>
        <v>5.8908718713638155</v>
      </c>
      <c r="AH12" s="18">
        <f>100*(I12-H12)/H12</f>
        <v>6.8036773853881183</v>
      </c>
      <c r="AI12" s="18">
        <f>100*(J12-I12)/I12</f>
        <v>10.183501786109817</v>
      </c>
      <c r="AJ12" s="18">
        <f>100*(K12-J12)/J12</f>
        <v>4.0544553420188647</v>
      </c>
      <c r="AK12" s="18">
        <f>100*(L12-K12)/K12</f>
        <v>5.4147581205942217</v>
      </c>
      <c r="AL12" s="49">
        <f>100*(M12-L12)/L12</f>
        <v>8.6775390617792922</v>
      </c>
      <c r="AM12" s="49">
        <f>100*(N12-M12)/M12</f>
        <v>1.7342760390965619</v>
      </c>
      <c r="AN12" s="49">
        <f>100*(O12-N12)/N12</f>
        <v>12.315357579154403</v>
      </c>
      <c r="AO12" s="49">
        <f>100*(P12-O12)/O12</f>
        <v>6.6945594675803193</v>
      </c>
      <c r="AP12" s="49">
        <f>100*(Q12-P12)/P12</f>
        <v>4.8257353738475306</v>
      </c>
      <c r="AQ12" s="49">
        <f>100*(R12-Q12)/Q12</f>
        <v>2.0717309233974217</v>
      </c>
      <c r="AR12" s="49">
        <f>100*(S12-R12)/R12</f>
        <v>0.1462161199541428</v>
      </c>
      <c r="AS12" s="49">
        <f>100*(T12-S12)/S12</f>
        <v>-1.2324452661208167</v>
      </c>
      <c r="AT12" s="49">
        <f>100*(U12-T12)/T12</f>
        <v>1.9013324994155738</v>
      </c>
      <c r="AU12" s="49">
        <f>100*(V12-U12)/U12</f>
        <v>9.4913666525003322</v>
      </c>
      <c r="AV12" s="49">
        <f>100*(W12-V12)/V12</f>
        <v>5.8635561922759276</v>
      </c>
      <c r="AW12" s="49">
        <f>100*(X12-W12)/W12</f>
        <v>10.439042945820439</v>
      </c>
      <c r="AX12" s="49">
        <f>100*(Y12-X12)/X12</f>
        <v>2.6080533072060401</v>
      </c>
      <c r="AY12" s="49">
        <f>100*(Z12-Y12)/Y12</f>
        <v>5.9288705147246947</v>
      </c>
      <c r="AZ12" s="50">
        <f>100*(EXP(LN(Z12/O12)/11)-1)</f>
        <v>4.3712375041205398</v>
      </c>
    </row>
    <row r="13" spans="1:52" s="29" customFormat="1" ht="19.5" customHeight="1" x14ac:dyDescent="0.25">
      <c r="A13" s="29" t="s">
        <v>43</v>
      </c>
      <c r="B13" s="77">
        <f t="shared" ref="B13:I13" si="0">B12+B11</f>
        <v>-4726.5852973478441</v>
      </c>
      <c r="C13" s="77">
        <f t="shared" si="0"/>
        <v>-4900.3234253825849</v>
      </c>
      <c r="D13" s="77">
        <f t="shared" si="0"/>
        <v>-4864.2253648147525</v>
      </c>
      <c r="E13" s="77">
        <f t="shared" si="0"/>
        <v>-5287.1986719006791</v>
      </c>
      <c r="F13" s="77">
        <f t="shared" si="0"/>
        <v>-5562.0089999999991</v>
      </c>
      <c r="G13" s="77">
        <f t="shared" si="0"/>
        <v>-5945.1869999999999</v>
      </c>
      <c r="H13" s="77">
        <f t="shared" si="0"/>
        <v>-6294.6340000000009</v>
      </c>
      <c r="I13" s="77">
        <f t="shared" si="0"/>
        <v>-6722.8859999999995</v>
      </c>
      <c r="J13" s="77">
        <v>-7407.3130000000001</v>
      </c>
      <c r="K13" s="77">
        <v>-7706.9039999999995</v>
      </c>
      <c r="L13" s="77">
        <v>-8123.3679999999995</v>
      </c>
      <c r="M13" s="77">
        <v>-8827.56</v>
      </c>
      <c r="N13" s="77">
        <v>-8981.1929999999993</v>
      </c>
      <c r="O13" s="30">
        <v>-10110.075000000001</v>
      </c>
      <c r="P13" s="30">
        <v>-10785.663</v>
      </c>
      <c r="Q13" s="30">
        <v>-11306.869999999999</v>
      </c>
      <c r="R13" s="30">
        <f>R12+R11</f>
        <v>-11514.714999999998</v>
      </c>
      <c r="S13" s="30">
        <f>S12+S11</f>
        <v>-11531.892</v>
      </c>
      <c r="T13" s="30">
        <f>T12+T11</f>
        <v>-11393.729000000001</v>
      </c>
      <c r="U13" s="30">
        <f>U12+U11</f>
        <v>-11609.437000000002</v>
      </c>
      <c r="V13" s="30">
        <f>V12+V11</f>
        <v>-12710.742</v>
      </c>
      <c r="W13" s="30">
        <f t="shared" ref="W13:AK13" si="1">W12+W11</f>
        <v>-13456.152</v>
      </c>
      <c r="X13" s="30">
        <f t="shared" si="1"/>
        <v>-14861.684999999999</v>
      </c>
      <c r="Y13" s="30">
        <f t="shared" si="1"/>
        <v>-15247.883</v>
      </c>
      <c r="Z13" s="30">
        <f t="shared" si="1"/>
        <v>-16153.223</v>
      </c>
      <c r="AA13" s="30">
        <f t="shared" si="1"/>
        <v>0</v>
      </c>
      <c r="AB13" s="30">
        <f t="shared" si="1"/>
        <v>3.6859145408617082</v>
      </c>
      <c r="AC13" s="30">
        <f t="shared" si="1"/>
        <v>-0.73112350018865102</v>
      </c>
      <c r="AD13" s="30">
        <f t="shared" si="1"/>
        <v>8.707965059817619</v>
      </c>
      <c r="AE13" s="30">
        <f t="shared" si="1"/>
        <v>5.1935136674224456</v>
      </c>
      <c r="AF13" s="30">
        <f t="shared" si="1"/>
        <v>6.9001660475454267</v>
      </c>
      <c r="AG13" s="30">
        <f t="shared" si="1"/>
        <v>5.8908718713638155</v>
      </c>
      <c r="AH13" s="30">
        <f t="shared" si="1"/>
        <v>6.8036773853881183</v>
      </c>
      <c r="AI13" s="30">
        <f t="shared" si="1"/>
        <v>10.183501786109817</v>
      </c>
      <c r="AJ13" s="30">
        <f t="shared" si="1"/>
        <v>4.0544553420188647</v>
      </c>
      <c r="AK13" s="30">
        <f t="shared" si="1"/>
        <v>5.4147581205942217</v>
      </c>
      <c r="AL13" s="49">
        <f>100*(M13-L13)/L13</f>
        <v>8.6687196739086545</v>
      </c>
      <c r="AM13" s="49">
        <f>100*(N13-M13)/M13</f>
        <v>1.7403789948751389</v>
      </c>
      <c r="AN13" s="49">
        <f>100*(O13-N13)/N13</f>
        <v>12.569399187836199</v>
      </c>
      <c r="AO13" s="49">
        <f>100*(P13-O13)/O13</f>
        <v>6.6823243151015168</v>
      </c>
      <c r="AP13" s="49">
        <f>100*(Q13-P13)/P13</f>
        <v>4.8324057593863126</v>
      </c>
      <c r="AQ13" s="49">
        <f>100*(R13-Q13)/Q13</f>
        <v>1.8382187112790662</v>
      </c>
      <c r="AR13" s="49">
        <f>100*(S13-R13)/R13</f>
        <v>0.14917433909568323</v>
      </c>
      <c r="AS13" s="49">
        <f>100*(T13-S13)/S13</f>
        <v>-1.1980948139299141</v>
      </c>
      <c r="AT13" s="49">
        <f>100*(U13-T13)/T13</f>
        <v>1.8932168739488233</v>
      </c>
      <c r="AU13" s="49">
        <f>100*(V13-U13)/U13</f>
        <v>9.4862911956884588</v>
      </c>
      <c r="AV13" s="49">
        <f>100*(W13-V13)/V13</f>
        <v>5.8644098039280461</v>
      </c>
      <c r="AW13" s="49">
        <f>100*(X13-W13)/W13</f>
        <v>10.445281830942452</v>
      </c>
      <c r="AX13" s="49">
        <f>100*(Y13-X13)/X13</f>
        <v>2.5986151637583514</v>
      </c>
      <c r="AY13" s="49">
        <f>100*(Z13-Y13)/Y13</f>
        <v>5.9374799767285742</v>
      </c>
      <c r="AZ13" s="50">
        <f>100*(EXP(LN(Z13/O13)/11)-1)</f>
        <v>4.3519183693697894</v>
      </c>
    </row>
    <row r="14" spans="1:52" ht="13.5" x14ac:dyDescent="0.25">
      <c r="A14" s="1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D14" s="23"/>
      <c r="AE14" s="23"/>
      <c r="AF14" s="23"/>
      <c r="AG14" s="23"/>
      <c r="AH14" s="23"/>
      <c r="AI14" s="23"/>
      <c r="AJ14" s="23"/>
      <c r="AK14" s="23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50"/>
    </row>
    <row r="15" spans="1:52" ht="13.5" x14ac:dyDescent="0.25">
      <c r="A15" s="8" t="s">
        <v>4</v>
      </c>
      <c r="B15" s="78">
        <f>B10+B11+B12</f>
        <v>324.77088599717808</v>
      </c>
      <c r="C15" s="78">
        <f>C10+C11+C12</f>
        <v>272.46444086764859</v>
      </c>
      <c r="D15" s="78">
        <f t="shared" ref="D15:I15" si="2">D10+D11+D12</f>
        <v>306.64325490729698</v>
      </c>
      <c r="E15" s="78">
        <f t="shared" si="2"/>
        <v>262.11096030260069</v>
      </c>
      <c r="F15" s="78">
        <f t="shared" si="2"/>
        <v>272.44800000000032</v>
      </c>
      <c r="G15" s="78">
        <f t="shared" si="2"/>
        <v>308.29199999999946</v>
      </c>
      <c r="H15" s="78">
        <f t="shared" si="2"/>
        <v>357.56799999999839</v>
      </c>
      <c r="I15" s="78">
        <f t="shared" si="2"/>
        <v>363.36000000000058</v>
      </c>
      <c r="J15" s="78">
        <v>386.74099999999999</v>
      </c>
      <c r="K15" s="78">
        <v>405.65600000000086</v>
      </c>
      <c r="L15" s="78">
        <v>397.37699999999859</v>
      </c>
      <c r="M15" s="78">
        <v>508.44000000000051</v>
      </c>
      <c r="N15" s="78">
        <v>533.26100000000042</v>
      </c>
      <c r="O15" s="10">
        <v>642.83799999999974</v>
      </c>
      <c r="P15" s="10">
        <v>577.38400000000001</v>
      </c>
      <c r="Q15" s="10">
        <v>543.95800000000054</v>
      </c>
      <c r="R15" s="10">
        <f>R13+R10</f>
        <v>722.49900000000162</v>
      </c>
      <c r="S15" s="10">
        <f>S13+S10</f>
        <v>759.56400000000031</v>
      </c>
      <c r="T15" s="10">
        <f>T13+T10</f>
        <v>871.93599999999788</v>
      </c>
      <c r="U15" s="10">
        <f>U13+U10</f>
        <v>794.20299999999952</v>
      </c>
      <c r="V15" s="10">
        <f>V13+V10</f>
        <v>753.90099999999802</v>
      </c>
      <c r="W15" s="10">
        <f t="shared" ref="W15:Z15" si="3">W13+W10</f>
        <v>671.84799999999996</v>
      </c>
      <c r="X15" s="10">
        <f t="shared" si="3"/>
        <v>663.02700000000186</v>
      </c>
      <c r="Y15" s="10">
        <f t="shared" si="3"/>
        <v>715.03200000000106</v>
      </c>
      <c r="Z15" s="10">
        <f t="shared" si="3"/>
        <v>869.0049999999992</v>
      </c>
      <c r="AB15" s="18">
        <f>100*(C15-B15)/B15</f>
        <v>-16.105644743655986</v>
      </c>
      <c r="AC15" s="18">
        <f>100*(D15-C15)/C15</f>
        <v>12.544320987651732</v>
      </c>
      <c r="AD15" s="18">
        <f>100*(E15-D15)/D15</f>
        <v>-14.52250910203751</v>
      </c>
      <c r="AE15" s="18">
        <f>100*(F15-E15)/E15</f>
        <v>3.9437647649170309</v>
      </c>
      <c r="AF15" s="18">
        <f>100*(G15-F15)/F15</f>
        <v>13.156272022550763</v>
      </c>
      <c r="AG15" s="18">
        <f>100*(H15-G15)/G15</f>
        <v>15.983548064821344</v>
      </c>
      <c r="AH15" s="18">
        <f>100*(I15-H15)/H15</f>
        <v>1.6198317522827033</v>
      </c>
      <c r="AI15" s="18">
        <f>100*(J15-I15)/I15</f>
        <v>6.4346653456625296</v>
      </c>
      <c r="AJ15" s="18">
        <f>100*(K15-J15)/J15</f>
        <v>4.8908701172104516</v>
      </c>
      <c r="AK15" s="18">
        <f>100*(L15-K15)/K15</f>
        <v>-2.0408917900887089</v>
      </c>
      <c r="AL15" s="61">
        <f>100*(M15-L15)/L15</f>
        <v>27.949025736266144</v>
      </c>
      <c r="AM15" s="61">
        <f>100*(N15-M15)/M15</f>
        <v>4.881795295413399</v>
      </c>
      <c r="AN15" s="61">
        <f>100*(O15-N15)/N15</f>
        <v>20.548474386838571</v>
      </c>
      <c r="AO15" s="61">
        <f>100*(P15-O15)/O15</f>
        <v>-10.182036531754463</v>
      </c>
      <c r="AP15" s="61">
        <f>100*(Q15-P15)/P15</f>
        <v>-5.7892148033197097</v>
      </c>
      <c r="AQ15" s="61">
        <f>100*(R15-Q15)/Q15</f>
        <v>32.822570860250408</v>
      </c>
      <c r="AR15" s="61">
        <f>100*(S15-R15)/R15</f>
        <v>5.1301109067277055</v>
      </c>
      <c r="AS15" s="61">
        <f>100*(T15-S15)/S15</f>
        <v>14.794276716642379</v>
      </c>
      <c r="AT15" s="61">
        <f>100*(U15-T15)/T15</f>
        <v>-8.9149891735171547</v>
      </c>
      <c r="AU15" s="61">
        <f>100*(V15-U15)/U15</f>
        <v>-5.0745212496051417</v>
      </c>
      <c r="AV15" s="61">
        <f>100*(W15-V15)/V15</f>
        <v>-10.883789781416695</v>
      </c>
      <c r="AW15" s="61">
        <f>100*(X15-W15)/W15</f>
        <v>-1.3129457853559279</v>
      </c>
      <c r="AX15" s="61">
        <f>100*(Y15-X15)/X15</f>
        <v>7.8435719812313911</v>
      </c>
      <c r="AY15" s="61">
        <f>100*(Z15-Y15)/Y15</f>
        <v>21.533721567705769</v>
      </c>
      <c r="AZ15" s="50">
        <f>100*(EXP(LN(Z15/O15)/11)-1)</f>
        <v>2.778407662079041</v>
      </c>
    </row>
    <row r="16" spans="1:52" ht="13.5" x14ac:dyDescent="0.25">
      <c r="A16" s="1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D16" s="23"/>
      <c r="AE16" s="23"/>
      <c r="AF16" s="23"/>
      <c r="AG16" s="23"/>
      <c r="AH16" s="23"/>
      <c r="AI16" s="23"/>
      <c r="AJ16" s="23"/>
      <c r="AK16" s="23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50"/>
    </row>
    <row r="17" spans="1:52" ht="15" customHeight="1" x14ac:dyDescent="0.25">
      <c r="A17" s="1" t="s">
        <v>5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D17" s="18"/>
      <c r="AE17" s="18"/>
      <c r="AF17" s="18"/>
      <c r="AG17" s="18"/>
      <c r="AH17" s="18"/>
      <c r="AI17" s="18"/>
      <c r="AJ17" s="18"/>
      <c r="AK17" s="1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50"/>
    </row>
    <row r="18" spans="1:52" ht="15" customHeight="1" x14ac:dyDescent="0.25">
      <c r="A18" s="1" t="s">
        <v>6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D18" s="18"/>
      <c r="AE18" s="18"/>
      <c r="AF18" s="18"/>
      <c r="AG18" s="18"/>
      <c r="AH18" s="18"/>
      <c r="AI18" s="18"/>
      <c r="AJ18" s="18"/>
      <c r="AK18" s="18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50"/>
    </row>
    <row r="19" spans="1:52" ht="15" customHeight="1" x14ac:dyDescent="0.25">
      <c r="A19" s="1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D19" s="23"/>
      <c r="AE19" s="23"/>
      <c r="AF19" s="23"/>
      <c r="AG19" s="23"/>
      <c r="AH19" s="23"/>
      <c r="AI19" s="23"/>
      <c r="AJ19" s="23"/>
      <c r="AK19" s="23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50"/>
    </row>
    <row r="20" spans="1:52" ht="15" customHeight="1" x14ac:dyDescent="0.25">
      <c r="A20" s="1" t="s">
        <v>8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D20" s="23"/>
      <c r="AE20" s="23"/>
      <c r="AF20" s="23"/>
      <c r="AG20" s="23"/>
      <c r="AH20" s="23"/>
      <c r="AI20" s="23"/>
      <c r="AJ20" s="23"/>
      <c r="AK20" s="23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50"/>
    </row>
    <row r="21" spans="1:52" ht="15" customHeight="1" x14ac:dyDescent="0.25">
      <c r="A21" s="1" t="s">
        <v>9</v>
      </c>
      <c r="B21" s="76">
        <v>8.9139601024600843</v>
      </c>
      <c r="C21" s="76">
        <v>9.2503359553831057</v>
      </c>
      <c r="D21" s="76">
        <v>9.4082644183304662</v>
      </c>
      <c r="E21" s="76">
        <v>19.241539726829171</v>
      </c>
      <c r="F21" s="76">
        <v>19.231000000000002</v>
      </c>
      <c r="G21" s="76">
        <v>14.669</v>
      </c>
      <c r="H21" s="76">
        <v>12.83</v>
      </c>
      <c r="I21" s="76">
        <v>12.09</v>
      </c>
      <c r="J21" s="76">
        <v>12.182</v>
      </c>
      <c r="K21" s="76">
        <v>20.637</v>
      </c>
      <c r="L21" s="76">
        <v>23.866</v>
      </c>
      <c r="M21" s="76">
        <v>29</v>
      </c>
      <c r="N21" s="76">
        <v>13.625</v>
      </c>
      <c r="O21" s="3">
        <v>7.47</v>
      </c>
      <c r="P21" s="3">
        <v>12.509</v>
      </c>
      <c r="Q21" s="3">
        <v>9.2970000000000006</v>
      </c>
      <c r="R21" s="3">
        <v>6.9910000000000005</v>
      </c>
      <c r="S21" s="3">
        <v>5.8319999999999999</v>
      </c>
      <c r="T21" s="3">
        <v>4.2010000000000005</v>
      </c>
      <c r="U21" s="3">
        <v>4.2540000000000004</v>
      </c>
      <c r="V21" s="3">
        <v>3.8170000000000002</v>
      </c>
      <c r="W21" s="3">
        <v>3.4130000000000003</v>
      </c>
      <c r="X21" s="3">
        <v>3.7930000000000001</v>
      </c>
      <c r="Y21" s="3">
        <v>4.3630000000000004</v>
      </c>
      <c r="Z21" s="3">
        <v>4.88</v>
      </c>
      <c r="AB21" s="18">
        <f>100*(C21-B21)/B21</f>
        <v>3.7735849056603703</v>
      </c>
      <c r="AC21" s="18">
        <f>100*(D21-C21)/C21</f>
        <v>1.7072727272727453</v>
      </c>
      <c r="AD21" s="18">
        <f>100*(E21-D21)/D21</f>
        <v>104.51742076190135</v>
      </c>
      <c r="AE21" s="18">
        <f>100*(F21-E21)/E21</f>
        <v>-5.477590140290596E-2</v>
      </c>
      <c r="AF21" s="18">
        <f>100*(G21-F21)/F21</f>
        <v>-23.722115334615989</v>
      </c>
      <c r="AG21" s="18">
        <f>100*(H21-G21)/G21</f>
        <v>-12.536641897879885</v>
      </c>
      <c r="AH21" s="18">
        <f>100*(I21-H21)/H21</f>
        <v>-5.7677318784099789</v>
      </c>
      <c r="AI21" s="18">
        <f>100*(J21-I21)/I21</f>
        <v>0.7609594706368944</v>
      </c>
      <c r="AJ21" s="18">
        <f>100*(K21-J21)/J21</f>
        <v>69.405680512231157</v>
      </c>
      <c r="AK21" s="18">
        <f>100*(L21-K21)/K21</f>
        <v>15.646654067936227</v>
      </c>
      <c r="AL21" s="49">
        <f>100*(M21-L21)/L21</f>
        <v>21.511774071901453</v>
      </c>
      <c r="AM21" s="49">
        <f>100*(N21-M21)/M21</f>
        <v>-53.017241379310342</v>
      </c>
      <c r="AN21" s="49">
        <f>100*(O21-N21)/N21</f>
        <v>-45.174311926605505</v>
      </c>
      <c r="AO21" s="49">
        <f>100*(P21-O21)/O21</f>
        <v>67.456492637215533</v>
      </c>
      <c r="AP21" s="49">
        <f>100*(Q21-P21)/P21</f>
        <v>-25.67751219122232</v>
      </c>
      <c r="AQ21" s="49">
        <f>100*(R21-Q21)/Q21</f>
        <v>-24.803700118317735</v>
      </c>
      <c r="AR21" s="49">
        <f>100*(S21-R21)/R21</f>
        <v>-16.578458017451016</v>
      </c>
      <c r="AS21" s="49">
        <f>100*(T21-S21)/S21</f>
        <v>-27.966392318244161</v>
      </c>
      <c r="AT21" s="49">
        <f>100*(U21-T21)/T21</f>
        <v>1.2616043799095438</v>
      </c>
      <c r="AU21" s="49">
        <f>100*(V21-U21)/U21</f>
        <v>-10.272684532204989</v>
      </c>
      <c r="AV21" s="49">
        <f>100*(W21-V21)/V21</f>
        <v>-10.584228451663607</v>
      </c>
      <c r="AW21" s="49">
        <f>100*(X21-W21)/W21</f>
        <v>11.133899794901842</v>
      </c>
      <c r="AX21" s="49">
        <f>100*(Y21-X21)/X21</f>
        <v>15.027682573161092</v>
      </c>
      <c r="AY21" s="49">
        <f>100*(Z21-Y21)/Y21</f>
        <v>11.849644739857883</v>
      </c>
      <c r="AZ21" s="50">
        <f>100*(EXP(LN(Z21/O21)/11)-1)</f>
        <v>-3.7965075949951577</v>
      </c>
    </row>
    <row r="22" spans="1:52" ht="15" customHeight="1" x14ac:dyDescent="0.25">
      <c r="A22" s="1" t="s">
        <v>10</v>
      </c>
      <c r="B22" s="76">
        <v>5.2138257203068417</v>
      </c>
      <c r="C22" s="76">
        <v>6.2229532790759077</v>
      </c>
      <c r="D22" s="76">
        <v>7.1932294268323647</v>
      </c>
      <c r="E22" s="76">
        <v>4.764259392875223</v>
      </c>
      <c r="F22" s="76">
        <v>6.5650000000000004</v>
      </c>
      <c r="G22" s="76">
        <v>4.6390000000000002</v>
      </c>
      <c r="H22" s="76">
        <v>3.7519999999999998</v>
      </c>
      <c r="I22" s="76">
        <v>3.266</v>
      </c>
      <c r="J22" s="76">
        <v>4.5869999999999997</v>
      </c>
      <c r="K22" s="76">
        <v>5.2510000000000003</v>
      </c>
      <c r="L22" s="76">
        <v>8.1820000000000004</v>
      </c>
      <c r="M22" s="76">
        <v>6.49</v>
      </c>
      <c r="N22" s="76">
        <v>5.242</v>
      </c>
      <c r="O22" s="3">
        <v>8.5340000000000007</v>
      </c>
      <c r="P22" s="3">
        <v>10.24</v>
      </c>
      <c r="Q22" s="3">
        <v>7.6020000000000003</v>
      </c>
      <c r="R22" s="3">
        <v>8.9640000000000004</v>
      </c>
      <c r="S22" s="3">
        <v>9.75</v>
      </c>
      <c r="T22" s="3">
        <v>30.34</v>
      </c>
      <c r="U22" s="3">
        <v>18.567</v>
      </c>
      <c r="V22" s="3">
        <v>23.237000000000002</v>
      </c>
      <c r="W22" s="3">
        <v>23.533999999999999</v>
      </c>
      <c r="X22" s="3">
        <v>23.689</v>
      </c>
      <c r="Y22" s="3">
        <v>18.152999999999999</v>
      </c>
      <c r="Z22" s="3">
        <v>60.002000000000002</v>
      </c>
      <c r="AD22" s="23"/>
      <c r="AE22" s="23"/>
      <c r="AF22" s="23"/>
      <c r="AG22" s="23"/>
      <c r="AH22" s="23"/>
      <c r="AI22" s="23"/>
      <c r="AJ22" s="23"/>
      <c r="AK22" s="23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50"/>
    </row>
    <row r="23" spans="1:52" ht="15" customHeight="1" x14ac:dyDescent="0.25">
      <c r="A23" s="1" t="s">
        <v>11</v>
      </c>
      <c r="B23" s="76">
        <v>-60.715841452605481</v>
      </c>
      <c r="C23" s="76">
        <v>-57.856646702759797</v>
      </c>
      <c r="D23" s="76">
        <v>-48.55047235579147</v>
      </c>
      <c r="E23" s="76">
        <v>-39.493552515839099</v>
      </c>
      <c r="F23" s="76">
        <v>-38.015000000000001</v>
      </c>
      <c r="G23" s="76">
        <v>-19.631</v>
      </c>
      <c r="H23" s="76">
        <v>-17.603999999999999</v>
      </c>
      <c r="I23" s="76">
        <v>-14.77</v>
      </c>
      <c r="J23" s="76">
        <v>-16.724</v>
      </c>
      <c r="K23" s="76">
        <v>-21.233000000000001</v>
      </c>
      <c r="L23" s="76">
        <v>-32.837000000000003</v>
      </c>
      <c r="M23" s="76">
        <v>-40</v>
      </c>
      <c r="N23" s="76">
        <v>-32.622999999999998</v>
      </c>
      <c r="O23" s="3">
        <v>-84.385000000000005</v>
      </c>
      <c r="P23" s="3">
        <v>-95.908000000000001</v>
      </c>
      <c r="Q23" s="3">
        <v>-97.647000000000006</v>
      </c>
      <c r="R23" s="3">
        <v>-97.057000000000002</v>
      </c>
      <c r="S23" s="3">
        <v>-97.052000000000007</v>
      </c>
      <c r="T23" s="3">
        <v>-96.631</v>
      </c>
      <c r="U23" s="3">
        <v>-90.475999999999999</v>
      </c>
      <c r="V23" s="3">
        <v>-85.921000000000006</v>
      </c>
      <c r="W23" s="3">
        <v>-84.293999999999997</v>
      </c>
      <c r="X23" s="3">
        <v>-85.84</v>
      </c>
      <c r="Y23" s="3">
        <v>-87.161000000000001</v>
      </c>
      <c r="Z23" s="3">
        <v>-90.138000000000005</v>
      </c>
      <c r="AB23" s="18">
        <f>100*(C23-B23)/B23</f>
        <v>-4.7091412742382222</v>
      </c>
      <c r="AC23" s="18">
        <f>100*(D23-C23)/C23</f>
        <v>-16.084883720930229</v>
      </c>
      <c r="AD23" s="18">
        <f>100*(E23-D23)/D23</f>
        <v>-18.654648246428426</v>
      </c>
      <c r="AE23" s="18">
        <f>100*(F23-E23)/E23</f>
        <v>-3.7437820141556446</v>
      </c>
      <c r="AF23" s="18">
        <f>100*(G23-F23)/F23</f>
        <v>-48.359857950808895</v>
      </c>
      <c r="AG23" s="18">
        <f>100*(H23-G23)/G23</f>
        <v>-10.325505577912491</v>
      </c>
      <c r="AH23" s="18">
        <f>100*(I23-H23)/H23</f>
        <v>-16.098613951374688</v>
      </c>
      <c r="AI23" s="18">
        <f>100*(J23-I23)/I23</f>
        <v>13.229519295870011</v>
      </c>
      <c r="AJ23" s="18">
        <f>100*(K23-J23)/J23</f>
        <v>26.961253288686919</v>
      </c>
      <c r="AK23" s="18">
        <f>100*(L23-K23)/K23</f>
        <v>54.650779447087096</v>
      </c>
      <c r="AL23" s="49">
        <f>100*(M23-L23)/L23</f>
        <v>21.813807595090893</v>
      </c>
      <c r="AM23" s="49">
        <f>100*(N23-M23)/M23</f>
        <v>-18.442500000000006</v>
      </c>
      <c r="AN23" s="49">
        <f>100*(O23-N23)/N23</f>
        <v>158.6671979891488</v>
      </c>
      <c r="AO23" s="49">
        <f>100*(P23-O23)/O23</f>
        <v>13.655270486460861</v>
      </c>
      <c r="AP23" s="49">
        <f>100*(Q23-P23)/P23</f>
        <v>1.8131959794803398</v>
      </c>
      <c r="AQ23" s="49">
        <f>100*(R23-Q23)/Q23</f>
        <v>-0.60421723145616701</v>
      </c>
      <c r="AR23" s="49">
        <f>100*(S23-R23)/R23</f>
        <v>-5.1516119393711455E-3</v>
      </c>
      <c r="AS23" s="49">
        <f>100*(T23-S23)/S23</f>
        <v>-0.43378807237357958</v>
      </c>
      <c r="AT23" s="49">
        <f>100*(U23-T23)/T23</f>
        <v>-6.3695915389471303</v>
      </c>
      <c r="AU23" s="49">
        <f>100*(V23-U23)/U23</f>
        <v>-5.0344842831247982</v>
      </c>
      <c r="AV23" s="49">
        <f>100*(W23-V23)/V23</f>
        <v>-1.8935999348238608</v>
      </c>
      <c r="AW23" s="49">
        <f>100*(X23-W23)/W23</f>
        <v>1.8340569910076714</v>
      </c>
      <c r="AX23" s="49">
        <f>100*(Y23-X23)/X23</f>
        <v>1.5389095992544244</v>
      </c>
      <c r="AY23" s="49">
        <f>100*(Z23-Y23)/Y23</f>
        <v>3.4155184084625048</v>
      </c>
      <c r="AZ23" s="50">
        <f>100*(EXP(LN(Z23/O23)/11)-1)</f>
        <v>0.60136615880233002</v>
      </c>
    </row>
    <row r="24" spans="1:52" ht="15" customHeight="1" x14ac:dyDescent="0.25">
      <c r="A24" s="1" t="s">
        <v>12</v>
      </c>
      <c r="B24" s="76">
        <v>-9.7548997347676405</v>
      </c>
      <c r="C24" s="76">
        <v>-12.614094484613327</v>
      </c>
      <c r="D24" s="76">
        <v>-19.592884305207267</v>
      </c>
      <c r="E24" s="76">
        <v>-42.696187011519193</v>
      </c>
      <c r="F24" s="76">
        <v>-28.494</v>
      </c>
      <c r="G24" s="76">
        <v>-26.917999999999999</v>
      </c>
      <c r="H24" s="76">
        <v>-25.553000000000001</v>
      </c>
      <c r="I24" s="76">
        <v>-31.225000000000001</v>
      </c>
      <c r="J24" s="76">
        <v>-31.837</v>
      </c>
      <c r="K24" s="76">
        <v>-33.307000000000002</v>
      </c>
      <c r="L24" s="76">
        <v>-34.055</v>
      </c>
      <c r="M24" s="76">
        <v>-39</v>
      </c>
      <c r="N24" s="76">
        <v>-30.532</v>
      </c>
      <c r="O24" s="3">
        <v>-30.045999999999999</v>
      </c>
      <c r="P24" s="3">
        <v>-31.993000000000002</v>
      </c>
      <c r="Q24" s="3">
        <v>-28.51</v>
      </c>
      <c r="R24" s="3">
        <v>-26.716000000000001</v>
      </c>
      <c r="S24" s="3">
        <v>-29.628</v>
      </c>
      <c r="T24" s="3">
        <v>-25.084</v>
      </c>
      <c r="U24" s="3">
        <v>-22.684000000000001</v>
      </c>
      <c r="V24" s="3">
        <v>-21.812999999999999</v>
      </c>
      <c r="W24" s="3">
        <v>-24.298000000000002</v>
      </c>
      <c r="X24" s="3">
        <v>-22.942</v>
      </c>
      <c r="Y24" s="3">
        <v>-29.277000000000001</v>
      </c>
      <c r="Z24" s="3">
        <v>-21.963000000000001</v>
      </c>
      <c r="AD24" s="23"/>
      <c r="AE24" s="23"/>
      <c r="AF24" s="23"/>
      <c r="AG24" s="23"/>
      <c r="AH24" s="23"/>
      <c r="AI24" s="23"/>
      <c r="AJ24" s="23"/>
      <c r="AK24" s="23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50"/>
    </row>
    <row r="25" spans="1:52" ht="13.5" x14ac:dyDescent="0.25">
      <c r="A25" s="1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D25" s="23"/>
      <c r="AE25" s="23"/>
      <c r="AF25" s="23"/>
      <c r="AG25" s="23"/>
      <c r="AH25" s="23"/>
      <c r="AI25" s="23"/>
      <c r="AJ25" s="23"/>
      <c r="AK25" s="23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50"/>
    </row>
    <row r="26" spans="1:52" ht="13.5" x14ac:dyDescent="0.25">
      <c r="A26" s="8" t="s">
        <v>13</v>
      </c>
      <c r="B26" s="78">
        <f>B15+B21+B22+B23+B24</f>
        <v>268.42793063257182</v>
      </c>
      <c r="C26" s="78">
        <f>C15+C21+C22+C23+C24</f>
        <v>217.46698891473446</v>
      </c>
      <c r="D26" s="78">
        <f t="shared" ref="D26:I26" si="4">D15+D21+D22+D23+D24</f>
        <v>255.10139209146107</v>
      </c>
      <c r="E26" s="78">
        <f t="shared" si="4"/>
        <v>203.92701989494677</v>
      </c>
      <c r="F26" s="78">
        <f t="shared" si="4"/>
        <v>231.73500000000033</v>
      </c>
      <c r="G26" s="78">
        <f t="shared" si="4"/>
        <v>281.05099999999948</v>
      </c>
      <c r="H26" s="78">
        <f t="shared" si="4"/>
        <v>330.9929999999984</v>
      </c>
      <c r="I26" s="78">
        <f t="shared" si="4"/>
        <v>332.72100000000057</v>
      </c>
      <c r="J26" s="78">
        <v>354.94900000000001</v>
      </c>
      <c r="K26" s="78">
        <v>377.00400000000081</v>
      </c>
      <c r="L26" s="78">
        <v>362.53299999999859</v>
      </c>
      <c r="M26" s="78">
        <v>464.93000000000052</v>
      </c>
      <c r="N26" s="78">
        <v>488.97300000000035</v>
      </c>
      <c r="O26" s="10">
        <f t="shared" ref="O26:U26" si="5">O15+O21+O22+O23+O24</f>
        <v>544.41099999999972</v>
      </c>
      <c r="P26" s="10">
        <f t="shared" si="5"/>
        <v>472.23200000000003</v>
      </c>
      <c r="Q26" s="10">
        <f t="shared" si="5"/>
        <v>434.70000000000056</v>
      </c>
      <c r="R26" s="10">
        <f t="shared" si="5"/>
        <v>614.68100000000163</v>
      </c>
      <c r="S26" s="10">
        <f t="shared" si="5"/>
        <v>648.46600000000024</v>
      </c>
      <c r="T26" s="10">
        <f t="shared" si="5"/>
        <v>784.76199999999801</v>
      </c>
      <c r="U26" s="10">
        <f t="shared" si="5"/>
        <v>703.86399999999958</v>
      </c>
      <c r="V26" s="10">
        <f>V15+V21+V22+V23+V24</f>
        <v>673.22099999999796</v>
      </c>
      <c r="W26" s="10">
        <f t="shared" ref="W26:Z26" si="6">W15+W21+W22+W23+W24</f>
        <v>590.20299999999997</v>
      </c>
      <c r="X26" s="10">
        <f t="shared" si="6"/>
        <v>581.72700000000179</v>
      </c>
      <c r="Y26" s="10">
        <f t="shared" si="6"/>
        <v>621.11000000000104</v>
      </c>
      <c r="Z26" s="10">
        <f t="shared" si="6"/>
        <v>821.78599999999915</v>
      </c>
      <c r="AB26" s="18">
        <f>100*(C26-B26)/B26</f>
        <v>-18.984962406014844</v>
      </c>
      <c r="AC26" s="18">
        <f>100*(D26-C26)/C26</f>
        <v>17.305800464033876</v>
      </c>
      <c r="AD26" s="18">
        <f>100*(E26-D26)/D26</f>
        <v>-20.060404914672844</v>
      </c>
      <c r="AE26" s="18">
        <f>100*(F26-E26)/E26</f>
        <v>13.636241102027023</v>
      </c>
      <c r="AF26" s="18">
        <f>100*(G26-F26)/F26</f>
        <v>21.281204824475836</v>
      </c>
      <c r="AG26" s="18">
        <f>100*(H26-G26)/G26</f>
        <v>17.769728625765079</v>
      </c>
      <c r="AH26" s="18">
        <f>100*(I26-H26)/H26</f>
        <v>0.52206542132376732</v>
      </c>
      <c r="AI26" s="18">
        <f>100*(J26-I26)/I26</f>
        <v>6.6806723951897835</v>
      </c>
      <c r="AJ26" s="18">
        <f>100*(K26-J26)/J26</f>
        <v>6.2135687098712209</v>
      </c>
      <c r="AK26" s="18">
        <f>100*(L26-K26)/K26</f>
        <v>-3.838420812511854</v>
      </c>
      <c r="AL26" s="61">
        <f>100*(M26-L26)/L26</f>
        <v>28.244877018092783</v>
      </c>
      <c r="AM26" s="61">
        <f>100*(N26-M26)/M26</f>
        <v>5.1713161121028568</v>
      </c>
      <c r="AN26" s="61">
        <f>100*(O26-N26)/N26</f>
        <v>11.337640319608511</v>
      </c>
      <c r="AO26" s="61">
        <f>100*(P26-O26)/O26</f>
        <v>-13.258181778105094</v>
      </c>
      <c r="AP26" s="61">
        <f>100*(Q26-P26)/P26</f>
        <v>-7.9477883752052954</v>
      </c>
      <c r="AQ26" s="61">
        <f>100*(R26-Q26)/Q26</f>
        <v>41.403496664366422</v>
      </c>
      <c r="AR26" s="61">
        <f>100*(S26-R26)/R26</f>
        <v>5.4963468856201043</v>
      </c>
      <c r="AS26" s="61">
        <f>100*(T26-S26)/S26</f>
        <v>21.018218379991815</v>
      </c>
      <c r="AT26" s="61">
        <f>100*(U26-T26)/T26</f>
        <v>-10.308603117887797</v>
      </c>
      <c r="AU26" s="61">
        <f>100*(V26-U26)/U26</f>
        <v>-4.3535398883877621</v>
      </c>
      <c r="AV26" s="61">
        <f>100*(W26-V26)/V26</f>
        <v>-12.331463219358612</v>
      </c>
      <c r="AW26" s="61">
        <f>100*(X26-W26)/W26</f>
        <v>-1.436116048206834</v>
      </c>
      <c r="AX26" s="61">
        <f>100*(Y26-X26)/X26</f>
        <v>6.770014113149144</v>
      </c>
      <c r="AY26" s="61">
        <f>100*(Z26-Y26)/Y26</f>
        <v>32.30925278936062</v>
      </c>
      <c r="AZ26" s="50">
        <f>100*(EXP(LN(Z26/O26)/11)-1)</f>
        <v>3.8143623090014511</v>
      </c>
    </row>
    <row r="27" spans="1:52" ht="13.5" x14ac:dyDescent="0.25">
      <c r="A27" s="1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D27" s="23"/>
      <c r="AE27" s="23"/>
      <c r="AF27" s="23"/>
      <c r="AG27" s="23"/>
      <c r="AH27" s="23"/>
      <c r="AI27" s="23"/>
      <c r="AJ27" s="23"/>
      <c r="AK27" s="23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50"/>
    </row>
    <row r="28" spans="1:52" ht="15" customHeight="1" x14ac:dyDescent="0.25">
      <c r="A28" s="1" t="s">
        <v>14</v>
      </c>
      <c r="B28" s="76">
        <v>-171.88806084366428</v>
      </c>
      <c r="C28" s="76">
        <v>-188.70685348981539</v>
      </c>
      <c r="D28" s="76">
        <v>-199.07547096824104</v>
      </c>
      <c r="E28" s="76">
        <v>-224.67316881190365</v>
      </c>
      <c r="F28" s="76">
        <v>-235.04499999999999</v>
      </c>
      <c r="G28" s="76">
        <v>-252.63499999999999</v>
      </c>
      <c r="H28" s="76">
        <v>-271.47500000000002</v>
      </c>
      <c r="I28" s="76">
        <v>-288.04200000000003</v>
      </c>
      <c r="J28" s="76">
        <v>-302.48</v>
      </c>
      <c r="K28" s="76">
        <v>-318.26499999999999</v>
      </c>
      <c r="L28" s="76">
        <v>-337.72300000000001</v>
      </c>
      <c r="M28" s="76">
        <v>-365.11</v>
      </c>
      <c r="N28" s="76">
        <v>-367.91800000000001</v>
      </c>
      <c r="O28" s="3">
        <v>-449.96899999999999</v>
      </c>
      <c r="P28" s="3">
        <v>-473.64499999999998</v>
      </c>
      <c r="Q28" s="3">
        <v>-498.28800000000001</v>
      </c>
      <c r="R28" s="3">
        <v>-555.08799999999997</v>
      </c>
      <c r="S28" s="3">
        <v>-561.51800000000003</v>
      </c>
      <c r="T28" s="3">
        <v>-572.44500000000005</v>
      </c>
      <c r="U28" s="3">
        <v>-593.95500000000004</v>
      </c>
      <c r="V28" s="3">
        <v>-608.71100000000001</v>
      </c>
      <c r="W28" s="3">
        <v>-615.69500000000005</v>
      </c>
      <c r="X28" s="3">
        <v>-622.92200000000003</v>
      </c>
      <c r="Y28" s="3">
        <v>-680.05700000000002</v>
      </c>
      <c r="Z28" s="3">
        <v>-683.822</v>
      </c>
      <c r="AB28" s="18">
        <f>100*(C28-B28)/B28</f>
        <v>9.7847358121330767</v>
      </c>
      <c r="AC28" s="18">
        <f>100*(D28-C28)/C28</f>
        <v>5.494563279857374</v>
      </c>
      <c r="AD28" s="18">
        <f>100*(E28-D28)/D28</f>
        <v>12.858288225647989</v>
      </c>
      <c r="AE28" s="18">
        <f>100*(F28-E28)/E28</f>
        <v>4.6164084669939527</v>
      </c>
      <c r="AF28" s="18">
        <f>100*(G28-F28)/F28</f>
        <v>7.483673339147825</v>
      </c>
      <c r="AG28" s="18">
        <f>100*(H28-G28)/G28</f>
        <v>7.4573990143883595</v>
      </c>
      <c r="AH28" s="18">
        <f>100*(I28-H28)/H28</f>
        <v>6.1025877152592338</v>
      </c>
      <c r="AI28" s="18">
        <f>100*(J28-I28)/I28</f>
        <v>5.0124634601898288</v>
      </c>
      <c r="AJ28" s="18">
        <f>100*(K28-J28)/J28</f>
        <v>5.2185268447500555</v>
      </c>
      <c r="AK28" s="18">
        <f>100*(L28-K28)/K28</f>
        <v>6.1137731136003106</v>
      </c>
      <c r="AL28" s="49">
        <f>100*(M28-L28)/L28</f>
        <v>8.1093085161508096</v>
      </c>
      <c r="AM28" s="49">
        <f>100*(N28-M28)/M28</f>
        <v>0.76908328996740505</v>
      </c>
      <c r="AN28" s="49">
        <f>100*(O28-N28)/N28</f>
        <v>22.301436733185106</v>
      </c>
      <c r="AO28" s="49">
        <f>100*(P28-O28)/O28</f>
        <v>5.2616958057110566</v>
      </c>
      <c r="AP28" s="49">
        <f>100*(Q28-P28)/P28</f>
        <v>5.2028417907926885</v>
      </c>
      <c r="AQ28" s="49">
        <f>100*(R28-Q28)/Q28</f>
        <v>11.399030279677607</v>
      </c>
      <c r="AR28" s="49">
        <f>100*(S28-R28)/R28</f>
        <v>1.1583748883060099</v>
      </c>
      <c r="AS28" s="49">
        <f>100*(T28-S28)/S28</f>
        <v>1.9459750177198274</v>
      </c>
      <c r="AT28" s="49">
        <f>100*(U28-T28)/T28</f>
        <v>3.7575662290700396</v>
      </c>
      <c r="AU28" s="49">
        <f>100*(V28-U28)/U28</f>
        <v>2.4843632935154969</v>
      </c>
      <c r="AV28" s="49">
        <f>100*(W28-V28)/V28</f>
        <v>1.1473424991498489</v>
      </c>
      <c r="AW28" s="49">
        <f>100*(X28-W28)/W28</f>
        <v>1.1737954669113726</v>
      </c>
      <c r="AX28" s="49">
        <f>100*(Y28-X28)/X28</f>
        <v>9.172095382728493</v>
      </c>
      <c r="AY28" s="49">
        <f>100*(Z28-Y28)/Y28</f>
        <v>0.55363006336233378</v>
      </c>
      <c r="AZ28" s="50">
        <f>100*(EXP(LN(Z28/O28)/11)-1)</f>
        <v>3.8780239328257693</v>
      </c>
    </row>
    <row r="29" spans="1:52" ht="15" customHeight="1" x14ac:dyDescent="0.25">
      <c r="A29" s="1" t="s">
        <v>15</v>
      </c>
      <c r="B29" s="76">
        <v>25.396376895688164</v>
      </c>
      <c r="C29" s="76">
        <v>20.687114954765857</v>
      </c>
      <c r="D29" s="76">
        <v>8.1673738968974376</v>
      </c>
      <c r="E29" s="76">
        <v>15.944215428551246</v>
      </c>
      <c r="F29" s="76">
        <v>23.690999999999999</v>
      </c>
      <c r="G29" s="76">
        <v>12.316000000000001</v>
      </c>
      <c r="H29" s="76">
        <v>28.696000000000002</v>
      </c>
      <c r="I29" s="76">
        <v>8.5190000000000001</v>
      </c>
      <c r="J29" s="76">
        <v>2.9359999999999999</v>
      </c>
      <c r="K29" s="76">
        <v>8.5389999999999997</v>
      </c>
      <c r="L29" s="76">
        <v>17.934000000000001</v>
      </c>
      <c r="M29" s="76">
        <v>5.57</v>
      </c>
      <c r="N29" s="76">
        <v>7.1</v>
      </c>
      <c r="O29" s="3">
        <v>3.9689999999999999</v>
      </c>
      <c r="P29" s="3">
        <v>16.507000000000001</v>
      </c>
      <c r="Q29" s="3">
        <v>12.678000000000001</v>
      </c>
      <c r="R29" s="3">
        <v>10.403</v>
      </c>
      <c r="S29" s="3">
        <v>13.468</v>
      </c>
      <c r="T29" s="3">
        <v>6.694</v>
      </c>
      <c r="U29" s="3">
        <v>68.045000000000002</v>
      </c>
      <c r="V29" s="3">
        <v>16.152000000000001</v>
      </c>
      <c r="W29" s="3">
        <v>56.681000000000004</v>
      </c>
      <c r="X29" s="3">
        <v>8.4499999999999993</v>
      </c>
      <c r="Y29" s="3">
        <v>8.5180000000000007</v>
      </c>
      <c r="Z29" s="3">
        <v>-1.944</v>
      </c>
      <c r="AD29" s="23"/>
      <c r="AE29" s="23"/>
      <c r="AF29" s="23"/>
      <c r="AG29" s="23"/>
      <c r="AH29" s="23"/>
      <c r="AI29" s="23"/>
      <c r="AJ29" s="23"/>
      <c r="AK29" s="23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51"/>
    </row>
    <row r="30" spans="1:52" ht="15" customHeight="1" x14ac:dyDescent="0.25">
      <c r="A30" s="1" t="s">
        <v>16</v>
      </c>
      <c r="B30" s="76">
        <v>-65.929667172912318</v>
      </c>
      <c r="C30" s="76">
        <v>-23.209933851688522</v>
      </c>
      <c r="D30" s="76">
        <v>-13.879708631236198</v>
      </c>
      <c r="E30" s="76">
        <v>-10.242644721506021</v>
      </c>
      <c r="F30" s="76">
        <v>-11.318</v>
      </c>
      <c r="G30" s="76">
        <v>-7.085</v>
      </c>
      <c r="H30" s="76">
        <v>-2.94</v>
      </c>
      <c r="I30" s="76">
        <v>-4.3170000000000002</v>
      </c>
      <c r="J30" s="76">
        <v>-1.6990000000000001</v>
      </c>
      <c r="K30" s="76">
        <v>-3.6920000000000002</v>
      </c>
      <c r="L30" s="76">
        <v>-3.2559999999999998</v>
      </c>
      <c r="M30" s="76">
        <v>-3.2559999999999998</v>
      </c>
      <c r="N30" s="76">
        <v>-2.5</v>
      </c>
      <c r="O30" s="3">
        <v>-2.105</v>
      </c>
      <c r="P30" s="3">
        <v>-3.5369999999999999</v>
      </c>
      <c r="Q30" s="3">
        <v>-6.3209999999999997</v>
      </c>
      <c r="R30" s="3">
        <v>-11.348000000000001</v>
      </c>
      <c r="S30" s="3">
        <v>-0.53</v>
      </c>
      <c r="T30" s="3">
        <v>-4.9139999999999997</v>
      </c>
      <c r="U30" s="3">
        <v>-4.2700000000000005</v>
      </c>
      <c r="V30" s="3">
        <v>-1.2570000000000001</v>
      </c>
      <c r="W30" s="3">
        <v>-4.4270000000000005</v>
      </c>
      <c r="X30" s="3">
        <v>-2.319</v>
      </c>
      <c r="Y30" s="3">
        <v>-4.4130000000000003</v>
      </c>
      <c r="Z30" s="3">
        <v>20.821999999999999</v>
      </c>
      <c r="AD30" s="23"/>
      <c r="AE30" s="23"/>
      <c r="AF30" s="23"/>
      <c r="AG30" s="23"/>
      <c r="AH30" s="23"/>
      <c r="AI30" s="23"/>
      <c r="AJ30" s="23"/>
      <c r="AK30" s="23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51"/>
    </row>
    <row r="31" spans="1:52" ht="13.5" x14ac:dyDescent="0.25">
      <c r="A31" s="4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D31" s="23"/>
      <c r="AE31" s="23"/>
      <c r="AF31" s="23"/>
      <c r="AG31" s="23"/>
      <c r="AH31" s="23"/>
      <c r="AI31" s="23"/>
      <c r="AJ31" s="23"/>
      <c r="AK31" s="23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51"/>
    </row>
    <row r="32" spans="1:52" ht="13.5" x14ac:dyDescent="0.25">
      <c r="A32" s="8" t="s">
        <v>17</v>
      </c>
      <c r="B32" s="78">
        <f>B26+B28+B29+B30</f>
        <v>56.006579511683384</v>
      </c>
      <c r="C32" s="78">
        <f>C26+C28+C29+C30</f>
        <v>26.237316527996409</v>
      </c>
      <c r="D32" s="78">
        <f t="shared" ref="D32:I32" si="7">D26+D28+D29+D30</f>
        <v>50.313586388881262</v>
      </c>
      <c r="E32" s="78">
        <f t="shared" si="7"/>
        <v>-15.044578209911659</v>
      </c>
      <c r="F32" s="78">
        <f t="shared" si="7"/>
        <v>9.0630000000003381</v>
      </c>
      <c r="G32" s="78">
        <f t="shared" si="7"/>
        <v>33.646999999999487</v>
      </c>
      <c r="H32" s="78">
        <f t="shared" si="7"/>
        <v>85.273999999998381</v>
      </c>
      <c r="I32" s="78">
        <f t="shared" si="7"/>
        <v>48.88100000000054</v>
      </c>
      <c r="J32" s="78">
        <v>53.705999999999996</v>
      </c>
      <c r="K32" s="78">
        <v>63.58600000000083</v>
      </c>
      <c r="L32" s="78">
        <v>39.487999999998578</v>
      </c>
      <c r="M32" s="78">
        <v>102.1340000000005</v>
      </c>
      <c r="N32" s="78">
        <v>125.65500000000034</v>
      </c>
      <c r="O32" s="9">
        <f t="shared" ref="O32:U32" si="8">O26+O28+O29+O30</f>
        <v>96.305999999999713</v>
      </c>
      <c r="P32" s="9">
        <f t="shared" si="8"/>
        <v>11.557000000000048</v>
      </c>
      <c r="Q32" s="9">
        <f t="shared" si="8"/>
        <v>-57.230999999999455</v>
      </c>
      <c r="R32" s="9">
        <f t="shared" si="8"/>
        <v>58.648000000001673</v>
      </c>
      <c r="S32" s="9">
        <f t="shared" si="8"/>
        <v>99.886000000000209</v>
      </c>
      <c r="T32" s="9">
        <f t="shared" si="8"/>
        <v>214.09699999999796</v>
      </c>
      <c r="U32" s="9">
        <f t="shared" si="8"/>
        <v>173.68399999999954</v>
      </c>
      <c r="V32" s="9">
        <f>V26+V28+V29+V30</f>
        <v>79.404999999997941</v>
      </c>
      <c r="W32" s="9">
        <f t="shared" ref="W32:Z32" si="9">W26+W28+W29+W30</f>
        <v>26.761999999999929</v>
      </c>
      <c r="X32" s="9">
        <f t="shared" si="9"/>
        <v>-35.063999999998231</v>
      </c>
      <c r="Y32" s="9">
        <f t="shared" si="9"/>
        <v>-54.841999999998976</v>
      </c>
      <c r="Z32" s="9">
        <f t="shared" si="9"/>
        <v>156.84199999999916</v>
      </c>
      <c r="AD32" s="23"/>
      <c r="AE32" s="23"/>
      <c r="AF32" s="23"/>
      <c r="AG32" s="23"/>
      <c r="AH32" s="23"/>
      <c r="AI32" s="23"/>
      <c r="AJ32" s="23"/>
      <c r="AK32" s="23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51"/>
    </row>
    <row r="33" spans="1:52" ht="9.75" customHeight="1" x14ac:dyDescent="0.25">
      <c r="A33" s="8"/>
      <c r="B33" s="87"/>
      <c r="C33" s="8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D33" s="23"/>
      <c r="AE33" s="23"/>
      <c r="AF33" s="23"/>
      <c r="AG33" s="23"/>
      <c r="AH33" s="23"/>
      <c r="AI33" s="23"/>
      <c r="AJ33" s="23"/>
      <c r="AK33" s="23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51"/>
    </row>
    <row r="34" spans="1:52" ht="13.5" x14ac:dyDescent="0.25">
      <c r="A34" s="1" t="s">
        <v>45</v>
      </c>
      <c r="B34" s="89">
        <f>B36-B32</f>
        <v>3.7044204883166145</v>
      </c>
      <c r="C34" s="89">
        <f t="shared" ref="C34:Z34" si="10">C36-C32</f>
        <v>-25.73231652799641</v>
      </c>
      <c r="D34" s="89">
        <f t="shared" si="10"/>
        <v>-24.169586388881264</v>
      </c>
      <c r="E34" s="89">
        <f t="shared" si="10"/>
        <v>-19.722421790088344</v>
      </c>
      <c r="F34" s="89">
        <f t="shared" si="10"/>
        <v>-21.622000000000337</v>
      </c>
      <c r="G34" s="89">
        <f t="shared" si="10"/>
        <v>-29.072999999999489</v>
      </c>
      <c r="H34" s="89">
        <f t="shared" si="10"/>
        <v>-54.123999999998382</v>
      </c>
      <c r="I34" s="89">
        <f t="shared" si="10"/>
        <v>-31.923000000000542</v>
      </c>
      <c r="J34" s="89">
        <f t="shared" si="10"/>
        <v>-12.791999999999994</v>
      </c>
      <c r="K34" s="89">
        <f t="shared" si="10"/>
        <v>-18.224000000000828</v>
      </c>
      <c r="L34" s="89">
        <f t="shared" si="10"/>
        <v>-16.61699999999858</v>
      </c>
      <c r="M34" s="89">
        <f t="shared" si="10"/>
        <v>-27.423000000000499</v>
      </c>
      <c r="N34" s="89">
        <f t="shared" si="10"/>
        <v>-24.183000000000348</v>
      </c>
      <c r="O34" s="43">
        <f t="shared" si="10"/>
        <v>-29.923999999999708</v>
      </c>
      <c r="P34" s="43">
        <f t="shared" si="10"/>
        <v>-4.2490000000000485</v>
      </c>
      <c r="Q34" s="43">
        <f t="shared" si="10"/>
        <v>6.992999999999455</v>
      </c>
      <c r="R34" s="43">
        <f t="shared" si="10"/>
        <v>-11.796000000001669</v>
      </c>
      <c r="S34" s="43">
        <f t="shared" si="10"/>
        <v>3.9209999999997933</v>
      </c>
      <c r="T34" s="43">
        <f t="shared" si="10"/>
        <v>-7.3199999999979468</v>
      </c>
      <c r="U34" s="43">
        <f t="shared" si="10"/>
        <v>9.5250000000004604</v>
      </c>
      <c r="V34" s="43">
        <f t="shared" si="10"/>
        <v>18.996000000002056</v>
      </c>
      <c r="W34" s="43">
        <f t="shared" si="10"/>
        <v>57.052000000000078</v>
      </c>
      <c r="X34" s="43">
        <f t="shared" si="10"/>
        <v>13.67099999999823</v>
      </c>
      <c r="Y34" s="43">
        <f t="shared" si="10"/>
        <v>-6.0950000000010292</v>
      </c>
      <c r="Z34" s="43">
        <f t="shared" si="10"/>
        <v>17.028000000000844</v>
      </c>
      <c r="AD34" s="23"/>
      <c r="AE34" s="23"/>
      <c r="AF34" s="23"/>
      <c r="AG34" s="23"/>
      <c r="AH34" s="23"/>
      <c r="AI34" s="23"/>
      <c r="AJ34" s="23"/>
      <c r="AK34" s="23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51"/>
    </row>
    <row r="35" spans="1:52" ht="10.5" customHeight="1" x14ac:dyDescent="0.25">
      <c r="A35" s="8"/>
      <c r="B35" s="87"/>
      <c r="C35" s="8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D35" s="23"/>
      <c r="AE35" s="23"/>
      <c r="AF35" s="23"/>
      <c r="AG35" s="23"/>
      <c r="AH35" s="23"/>
      <c r="AI35" s="23"/>
      <c r="AJ35" s="23"/>
      <c r="AK35" s="23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51"/>
    </row>
    <row r="36" spans="1:52" ht="13.5" x14ac:dyDescent="0.25">
      <c r="A36" s="8" t="s">
        <v>46</v>
      </c>
      <c r="B36" s="90">
        <v>59.710999999999999</v>
      </c>
      <c r="C36" s="90">
        <v>0.505</v>
      </c>
      <c r="D36" s="90">
        <v>26.143999999999998</v>
      </c>
      <c r="E36" s="90">
        <v>-34.767000000000003</v>
      </c>
      <c r="F36" s="90">
        <v>-12.558999999999999</v>
      </c>
      <c r="G36" s="90">
        <v>4.5739999999999998</v>
      </c>
      <c r="H36" s="90">
        <v>31.15</v>
      </c>
      <c r="I36" s="90">
        <v>16.957999999999998</v>
      </c>
      <c r="J36" s="90">
        <v>40.914000000000001</v>
      </c>
      <c r="K36" s="90">
        <v>45.362000000000002</v>
      </c>
      <c r="L36" s="90">
        <v>22.870999999999999</v>
      </c>
      <c r="M36" s="90">
        <v>74.710999999999999</v>
      </c>
      <c r="N36" s="90">
        <v>101.47199999999999</v>
      </c>
      <c r="O36" s="42">
        <v>66.382000000000005</v>
      </c>
      <c r="P36" s="42">
        <v>7.3079999999999998</v>
      </c>
      <c r="Q36" s="42">
        <v>-50.238</v>
      </c>
      <c r="R36" s="42">
        <v>46.852000000000004</v>
      </c>
      <c r="S36" s="9">
        <v>103.807</v>
      </c>
      <c r="T36" s="9">
        <v>206.77700000000002</v>
      </c>
      <c r="U36" s="9">
        <v>183.209</v>
      </c>
      <c r="V36" s="9">
        <v>98.400999999999996</v>
      </c>
      <c r="W36" s="9">
        <v>83.814000000000007</v>
      </c>
      <c r="X36" s="9">
        <v>-21.393000000000001</v>
      </c>
      <c r="Y36" s="9">
        <v>-60.937000000000005</v>
      </c>
      <c r="Z36" s="9">
        <v>173.87</v>
      </c>
      <c r="AD36" s="23"/>
      <c r="AE36" s="23"/>
      <c r="AF36" s="23"/>
      <c r="AG36" s="23"/>
      <c r="AH36" s="23"/>
      <c r="AI36" s="23"/>
      <c r="AJ36" s="23"/>
      <c r="AK36" s="23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63"/>
    </row>
    <row r="37" spans="1:52" ht="13.5" x14ac:dyDescent="0.25">
      <c r="G37" s="76"/>
      <c r="AD37" s="23"/>
      <c r="AE37" s="23"/>
      <c r="AF37" s="23"/>
      <c r="AG37" s="23"/>
      <c r="AH37" s="23"/>
      <c r="AI37" s="23"/>
      <c r="AJ37" s="23"/>
      <c r="AK37" s="23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51"/>
    </row>
    <row r="38" spans="1:52" ht="13.5" x14ac:dyDescent="0.25">
      <c r="A38" s="7"/>
      <c r="B38" s="84"/>
      <c r="C38" s="84"/>
      <c r="G38" s="76"/>
      <c r="AD38" s="23"/>
      <c r="AE38" s="23"/>
      <c r="AF38" s="23"/>
      <c r="AG38" s="23"/>
      <c r="AH38" s="23"/>
      <c r="AI38" s="23"/>
      <c r="AJ38" s="23"/>
      <c r="AK38" s="23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51"/>
    </row>
    <row r="39" spans="1:52" ht="18" x14ac:dyDescent="0.25">
      <c r="A39" s="5" t="s">
        <v>50</v>
      </c>
      <c r="B39" s="85"/>
      <c r="C39" s="85"/>
      <c r="G39" s="76"/>
      <c r="AD39" s="23"/>
      <c r="AE39" s="23"/>
      <c r="AF39" s="23"/>
      <c r="AG39" s="23"/>
      <c r="AH39" s="23"/>
      <c r="AI39" s="23"/>
      <c r="AJ39" s="23"/>
      <c r="AK39" s="23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51"/>
    </row>
    <row r="40" spans="1:52" ht="15" x14ac:dyDescent="0.25">
      <c r="A40" s="6" t="s">
        <v>47</v>
      </c>
      <c r="B40" s="86"/>
      <c r="C40" s="86"/>
      <c r="G40" s="76"/>
      <c r="AD40" s="23"/>
      <c r="AE40" s="23"/>
      <c r="AF40" s="23"/>
      <c r="AG40" s="23"/>
      <c r="AH40" s="23"/>
      <c r="AI40" s="23"/>
      <c r="AJ40" s="23"/>
      <c r="AK40" s="23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51"/>
    </row>
    <row r="41" spans="1:52" ht="9" customHeight="1" x14ac:dyDescent="0.25">
      <c r="G41" s="76"/>
      <c r="AD41" s="23"/>
      <c r="AE41" s="23"/>
      <c r="AF41" s="23"/>
      <c r="AG41" s="23"/>
      <c r="AH41" s="23"/>
      <c r="AI41" s="23"/>
      <c r="AJ41" s="23"/>
      <c r="AK41" s="23"/>
      <c r="AL41" s="47"/>
      <c r="AM41" s="47"/>
      <c r="AN41" s="47"/>
      <c r="AO41" s="47"/>
      <c r="AP41" s="47"/>
      <c r="AQ41" s="52"/>
      <c r="AR41" s="52"/>
      <c r="AS41" s="52"/>
      <c r="AT41" s="52"/>
      <c r="AU41" s="52"/>
      <c r="AV41" s="52"/>
      <c r="AW41" s="52"/>
      <c r="AX41" s="52"/>
      <c r="AY41" s="52"/>
      <c r="AZ41" s="51"/>
    </row>
    <row r="42" spans="1:52" ht="13.5" x14ac:dyDescent="0.25">
      <c r="A42" s="8" t="s">
        <v>18</v>
      </c>
      <c r="B42" s="74">
        <v>1997</v>
      </c>
      <c r="C42" s="74">
        <v>1998</v>
      </c>
      <c r="D42" s="74">
        <v>1999</v>
      </c>
      <c r="E42" s="74">
        <v>2000</v>
      </c>
      <c r="F42" s="74">
        <v>2001</v>
      </c>
      <c r="G42" s="74">
        <v>2002</v>
      </c>
      <c r="H42" s="74">
        <v>2003</v>
      </c>
      <c r="I42" s="74">
        <v>2004</v>
      </c>
      <c r="J42" s="74">
        <v>2005</v>
      </c>
      <c r="K42" s="74">
        <v>2006</v>
      </c>
      <c r="L42" s="74">
        <v>2007</v>
      </c>
      <c r="M42" s="74">
        <v>2008</v>
      </c>
      <c r="N42" s="74">
        <v>2009</v>
      </c>
      <c r="O42" s="12">
        <v>2010</v>
      </c>
      <c r="P42" s="12">
        <v>2011</v>
      </c>
      <c r="Q42" s="12">
        <v>2012</v>
      </c>
      <c r="R42" s="12">
        <v>2013</v>
      </c>
      <c r="S42" s="12">
        <v>2014</v>
      </c>
      <c r="T42" s="12">
        <v>2015</v>
      </c>
      <c r="U42" s="12">
        <v>2016</v>
      </c>
      <c r="V42" s="12">
        <v>2017</v>
      </c>
      <c r="W42" s="12">
        <v>2018</v>
      </c>
      <c r="X42" s="12">
        <v>2019</v>
      </c>
      <c r="Y42" s="12">
        <v>2020</v>
      </c>
      <c r="Z42" s="12">
        <v>2021</v>
      </c>
      <c r="AB42" s="19" t="s">
        <v>32</v>
      </c>
      <c r="AC42" s="40"/>
      <c r="AD42" s="40"/>
      <c r="AE42" s="40"/>
      <c r="AF42" s="40"/>
      <c r="AG42" s="40"/>
      <c r="AH42" s="40"/>
      <c r="AI42" s="40"/>
      <c r="AJ42" s="40"/>
      <c r="AL42" s="53" t="s">
        <v>32</v>
      </c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5"/>
    </row>
    <row r="43" spans="1:52" ht="13.5" x14ac:dyDescent="0.25">
      <c r="A43" s="1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B43" s="22">
        <v>1998</v>
      </c>
      <c r="AC43" s="22">
        <v>1999</v>
      </c>
      <c r="AD43" s="22">
        <v>2000</v>
      </c>
      <c r="AE43" s="22">
        <v>2001</v>
      </c>
      <c r="AF43" s="22">
        <v>2002</v>
      </c>
      <c r="AG43" s="22">
        <v>2003</v>
      </c>
      <c r="AH43" s="22">
        <v>2004</v>
      </c>
      <c r="AI43" s="22">
        <v>2005</v>
      </c>
      <c r="AJ43" s="22">
        <v>2006</v>
      </c>
      <c r="AK43" s="22">
        <v>2007</v>
      </c>
      <c r="AL43" s="59">
        <v>2008</v>
      </c>
      <c r="AM43" s="59">
        <v>2009</v>
      </c>
      <c r="AN43" s="59">
        <v>2010</v>
      </c>
      <c r="AO43" s="59">
        <v>2011</v>
      </c>
      <c r="AP43" s="59">
        <v>2012</v>
      </c>
      <c r="AQ43" s="59">
        <v>2013</v>
      </c>
      <c r="AR43" s="59">
        <v>2014</v>
      </c>
      <c r="AS43" s="59">
        <v>2015</v>
      </c>
      <c r="AT43" s="59">
        <v>2016</v>
      </c>
      <c r="AU43" s="59">
        <v>2017</v>
      </c>
      <c r="AV43" s="59">
        <v>2018</v>
      </c>
      <c r="AW43" s="59">
        <v>2019</v>
      </c>
      <c r="AX43" s="59">
        <v>2020</v>
      </c>
      <c r="AY43" s="59">
        <v>2021</v>
      </c>
      <c r="AZ43" s="48" t="s">
        <v>49</v>
      </c>
    </row>
    <row r="44" spans="1:52" ht="12.75" customHeight="1" x14ac:dyDescent="0.25">
      <c r="A44" s="1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D44" s="23"/>
      <c r="AE44" s="23"/>
      <c r="AF44" s="23"/>
      <c r="AG44" s="23"/>
      <c r="AH44" s="23"/>
      <c r="AI44" s="23"/>
      <c r="AJ44" s="23"/>
      <c r="AK44" s="23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8" t="s">
        <v>33</v>
      </c>
    </row>
    <row r="45" spans="1:52" ht="15" customHeight="1" x14ac:dyDescent="0.25">
      <c r="A45" s="8" t="s">
        <v>37</v>
      </c>
      <c r="B45" s="87"/>
      <c r="C45" s="87"/>
      <c r="AD45" s="23"/>
      <c r="AE45" s="23"/>
      <c r="AF45" s="23"/>
      <c r="AG45" s="23"/>
      <c r="AH45" s="23"/>
      <c r="AI45" s="23"/>
      <c r="AJ45" s="23"/>
      <c r="AK45" s="23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51"/>
    </row>
    <row r="46" spans="1:52" ht="15" customHeight="1" x14ac:dyDescent="0.25">
      <c r="A46" s="1" t="s">
        <v>19</v>
      </c>
      <c r="B46" s="76">
        <v>268.42793063257159</v>
      </c>
      <c r="C46" s="76">
        <v>217.29880098827226</v>
      </c>
      <c r="D46" s="76">
        <v>255.09230994343841</v>
      </c>
      <c r="E46" s="76">
        <v>203.92701989494981</v>
      </c>
      <c r="F46" s="89">
        <v>231.73500000000001</v>
      </c>
      <c r="G46" s="76">
        <v>281.05099999999948</v>
      </c>
      <c r="H46" s="76">
        <v>330.99299999999931</v>
      </c>
      <c r="I46" s="76">
        <v>332.72100000000057</v>
      </c>
      <c r="J46" s="76">
        <v>354.94499999999999</v>
      </c>
      <c r="K46" s="76">
        <v>377.04399999999998</v>
      </c>
      <c r="L46" s="76">
        <v>362.53299999999859</v>
      </c>
      <c r="M46" s="89">
        <v>465</v>
      </c>
      <c r="N46" s="89">
        <v>488.74599999999998</v>
      </c>
      <c r="O46" s="13">
        <f t="shared" ref="O46:U46" si="11">O26</f>
        <v>544.41099999999972</v>
      </c>
      <c r="P46" s="13">
        <f t="shared" si="11"/>
        <v>472.23200000000003</v>
      </c>
      <c r="Q46" s="13">
        <f t="shared" si="11"/>
        <v>434.70000000000056</v>
      </c>
      <c r="R46" s="13">
        <f t="shared" si="11"/>
        <v>614.68100000000163</v>
      </c>
      <c r="S46" s="13">
        <f t="shared" si="11"/>
        <v>648.46600000000024</v>
      </c>
      <c r="T46" s="13">
        <f t="shared" si="11"/>
        <v>784.76199999999801</v>
      </c>
      <c r="U46" s="13">
        <f t="shared" si="11"/>
        <v>703.86399999999958</v>
      </c>
      <c r="V46" s="13">
        <f>V26</f>
        <v>673.22099999999796</v>
      </c>
      <c r="W46" s="13">
        <f t="shared" ref="W46:Z46" si="12">W26</f>
        <v>590.20299999999997</v>
      </c>
      <c r="X46" s="13">
        <f t="shared" si="12"/>
        <v>581.72700000000179</v>
      </c>
      <c r="Y46" s="13">
        <f t="shared" si="12"/>
        <v>621.11000000000104</v>
      </c>
      <c r="Z46" s="13">
        <f t="shared" si="12"/>
        <v>821.78599999999915</v>
      </c>
      <c r="AD46" s="23"/>
      <c r="AE46" s="23"/>
      <c r="AF46" s="23"/>
      <c r="AG46" s="23"/>
      <c r="AH46" s="23"/>
      <c r="AI46" s="23"/>
      <c r="AJ46" s="23"/>
      <c r="AK46" s="23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51"/>
    </row>
    <row r="47" spans="1:52" ht="15" customHeight="1" x14ac:dyDescent="0.25">
      <c r="A47" s="1" t="s">
        <v>20</v>
      </c>
      <c r="B47" s="76">
        <v>-40.869666130147181</v>
      </c>
      <c r="C47" s="76">
        <v>-2.5228188969226655</v>
      </c>
      <c r="D47" s="76">
        <v>-4.4990270328454196</v>
      </c>
      <c r="E47" s="76">
        <v>4.8101746967992156</v>
      </c>
      <c r="F47" s="89">
        <v>11.617000000000001</v>
      </c>
      <c r="G47" s="76">
        <v>5.2310000000000008</v>
      </c>
      <c r="H47" s="76">
        <v>25.756</v>
      </c>
      <c r="I47" s="76">
        <v>4.202</v>
      </c>
      <c r="J47" s="76">
        <v>1.2370000000000001</v>
      </c>
      <c r="K47" s="76">
        <v>4.8470000000000004</v>
      </c>
      <c r="L47" s="76">
        <v>14.678000000000001</v>
      </c>
      <c r="M47" s="89">
        <v>2.1</v>
      </c>
      <c r="N47" s="89">
        <v>4.726</v>
      </c>
      <c r="O47" s="13">
        <f t="shared" ref="O47:U47" si="13">O29+O30</f>
        <v>1.8639999999999999</v>
      </c>
      <c r="P47" s="13">
        <f t="shared" si="13"/>
        <v>12.970000000000002</v>
      </c>
      <c r="Q47" s="13">
        <f t="shared" si="13"/>
        <v>6.3570000000000011</v>
      </c>
      <c r="R47" s="13">
        <f t="shared" si="13"/>
        <v>-0.94500000000000028</v>
      </c>
      <c r="S47" s="13">
        <f t="shared" si="13"/>
        <v>12.938000000000001</v>
      </c>
      <c r="T47" s="13">
        <f t="shared" si="13"/>
        <v>1.7800000000000002</v>
      </c>
      <c r="U47" s="13">
        <f t="shared" si="13"/>
        <v>63.774999999999999</v>
      </c>
      <c r="V47" s="13">
        <f>V29+V30</f>
        <v>14.895000000000001</v>
      </c>
      <c r="W47" s="13">
        <f t="shared" ref="W47:Z47" si="14">W29+W30</f>
        <v>52.254000000000005</v>
      </c>
      <c r="X47" s="13">
        <f t="shared" si="14"/>
        <v>6.1309999999999993</v>
      </c>
      <c r="Y47" s="13">
        <f t="shared" si="14"/>
        <v>4.1050000000000004</v>
      </c>
      <c r="Z47" s="13">
        <f t="shared" si="14"/>
        <v>18.878</v>
      </c>
      <c r="AD47" s="23"/>
      <c r="AE47" s="23"/>
      <c r="AF47" s="23"/>
      <c r="AG47" s="23"/>
      <c r="AH47" s="23"/>
      <c r="AI47" s="23"/>
      <c r="AJ47" s="23"/>
      <c r="AK47" s="23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51"/>
    </row>
    <row r="48" spans="1:52" ht="15" customHeight="1" x14ac:dyDescent="0.25">
      <c r="A48" s="1" t="s">
        <v>21</v>
      </c>
      <c r="B48" s="76">
        <v>5.099273113202865</v>
      </c>
      <c r="C48" s="76">
        <v>9.2503359553831057</v>
      </c>
      <c r="D48" s="76">
        <v>30.31890112736367</v>
      </c>
      <c r="E48" s="76">
        <v>16.964779766319694</v>
      </c>
      <c r="F48" s="89">
        <v>3.609</v>
      </c>
      <c r="G48" s="76">
        <v>5.4060000000000006</v>
      </c>
      <c r="H48" s="76">
        <v>3.7839999999999998</v>
      </c>
      <c r="I48" s="76">
        <v>9.0619999999999994</v>
      </c>
      <c r="J48" s="76">
        <v>0.98299999999999998</v>
      </c>
      <c r="K48" s="76">
        <v>7.5359999999999996</v>
      </c>
      <c r="L48" s="76">
        <v>-19.730999999999998</v>
      </c>
      <c r="M48" s="89">
        <v>3.1520000000000001</v>
      </c>
      <c r="N48" s="89">
        <v>-4.7149999999999999</v>
      </c>
      <c r="O48" s="13">
        <v>-12.396000000000001</v>
      </c>
      <c r="P48" s="13">
        <v>-2.5659999999999998</v>
      </c>
      <c r="Q48" s="13">
        <v>-0.67200000000000004</v>
      </c>
      <c r="R48" s="13">
        <v>21.491</v>
      </c>
      <c r="S48" s="13">
        <v>65.314999999999998</v>
      </c>
      <c r="T48" s="13">
        <v>6.9850000000000003</v>
      </c>
      <c r="U48" s="13">
        <v>16.82</v>
      </c>
      <c r="V48" s="13">
        <v>19.558</v>
      </c>
      <c r="W48" s="13">
        <v>-57</v>
      </c>
      <c r="X48" s="13">
        <v>-55.395000000000003</v>
      </c>
      <c r="Y48" s="13">
        <v>-32.142000000000003</v>
      </c>
      <c r="Z48" s="13">
        <v>-0.35100000000000003</v>
      </c>
      <c r="AD48" s="23"/>
      <c r="AE48" s="23"/>
      <c r="AF48" s="23"/>
      <c r="AG48" s="23"/>
      <c r="AH48" s="23"/>
      <c r="AI48" s="23"/>
      <c r="AJ48" s="23"/>
      <c r="AK48" s="23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51"/>
    </row>
    <row r="49" spans="1:52" ht="14.25" customHeight="1" x14ac:dyDescent="0.25">
      <c r="A49" s="8" t="s">
        <v>38</v>
      </c>
      <c r="B49" s="76"/>
      <c r="C49" s="76"/>
      <c r="D49" s="76"/>
      <c r="E49" s="76"/>
      <c r="F49" s="89"/>
      <c r="G49" s="76"/>
      <c r="H49" s="76"/>
      <c r="I49" s="76"/>
      <c r="J49" s="76"/>
      <c r="K49" s="76"/>
      <c r="L49" s="76"/>
      <c r="M49" s="89"/>
      <c r="N49" s="89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D49" s="23"/>
      <c r="AE49" s="23"/>
      <c r="AF49" s="23"/>
      <c r="AG49" s="23"/>
      <c r="AH49" s="23"/>
      <c r="AI49" s="23"/>
      <c r="AJ49" s="23"/>
      <c r="AK49" s="23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51"/>
    </row>
    <row r="50" spans="1:52" ht="15" customHeight="1" x14ac:dyDescent="0.25">
      <c r="A50" s="1" t="s">
        <v>34</v>
      </c>
      <c r="B50" s="76">
        <v>-297.52444191041303</v>
      </c>
      <c r="C50" s="76">
        <v>-296.51531435164395</v>
      </c>
      <c r="D50" s="76">
        <f>-296.976149270148+6.077</f>
        <v>-290.89914927014803</v>
      </c>
      <c r="E50" s="76">
        <f>-330.126662327418+1.884</f>
        <v>-328.24266232741797</v>
      </c>
      <c r="F50" s="89">
        <f>-400.235+3.979</f>
        <v>-396.25600000000003</v>
      </c>
      <c r="G50" s="76">
        <f>-410.037+4.015</f>
        <v>-406.02199999999999</v>
      </c>
      <c r="H50" s="76">
        <f>-478.289+7.099</f>
        <v>-471.19</v>
      </c>
      <c r="I50" s="76">
        <v>-475.08799999999997</v>
      </c>
      <c r="J50" s="76">
        <v>-521.88499999999999</v>
      </c>
      <c r="K50" s="76">
        <v>-618.44500000000005</v>
      </c>
      <c r="L50" s="76">
        <v>-580.91100000000006</v>
      </c>
      <c r="M50" s="89">
        <v>-595.29999999999995</v>
      </c>
      <c r="N50" s="89">
        <v>-671</v>
      </c>
      <c r="O50" s="13">
        <v>-2461.9090000000001</v>
      </c>
      <c r="P50" s="13">
        <v>-736.61199999999997</v>
      </c>
      <c r="Q50" s="13">
        <v>-818.601</v>
      </c>
      <c r="R50" s="13">
        <v>-869.20600000000002</v>
      </c>
      <c r="S50" s="13">
        <v>-810.24700000000007</v>
      </c>
      <c r="T50" s="13">
        <v>-788.221</v>
      </c>
      <c r="U50" s="13">
        <v>-863.59900000000005</v>
      </c>
      <c r="V50" s="13">
        <v>-1130.133</v>
      </c>
      <c r="W50" s="13">
        <v>-1180.8700000000001</v>
      </c>
      <c r="X50" s="13">
        <v>-1351.691</v>
      </c>
      <c r="Y50" s="13">
        <v>-1448.973</v>
      </c>
      <c r="Z50" s="13">
        <v>-1377.6949999999999</v>
      </c>
      <c r="AA50" s="3"/>
      <c r="AB50" s="18">
        <f>100*(C50-B50)/B50</f>
        <v>-0.33917467495760789</v>
      </c>
      <c r="AC50" s="18">
        <f>100*(D50-C50)/C50</f>
        <v>-1.8940556557006663</v>
      </c>
      <c r="AD50" s="18">
        <f>100*(E50-D50)/D50</f>
        <v>12.837271319274404</v>
      </c>
      <c r="AE50" s="18">
        <f>100*(F50-E50)/E50</f>
        <v>20.720444195258079</v>
      </c>
      <c r="AF50" s="18">
        <f>100*(G50-F50)/F50</f>
        <v>2.4645683598481694</v>
      </c>
      <c r="AG50" s="18">
        <f>100*(H50-G50)/G50</f>
        <v>16.050361803055011</v>
      </c>
      <c r="AH50" s="18">
        <f>100*(I50-H50)/H50</f>
        <v>0.82726713215475023</v>
      </c>
      <c r="AI50" s="18">
        <f>100*(J50-I50)/I50</f>
        <v>9.8501751254504484</v>
      </c>
      <c r="AJ50" s="18">
        <f>100*(K50-J50)/J50</f>
        <v>18.502160437644321</v>
      </c>
      <c r="AK50" s="18">
        <f>100*(L50-K50)/K50</f>
        <v>-6.0690926436465631</v>
      </c>
      <c r="AL50" s="49">
        <f>100*(M50-L50)/L50</f>
        <v>2.4769715154300562</v>
      </c>
      <c r="AM50" s="49">
        <f>100*(N50-M50)/M50</f>
        <v>12.716277507139266</v>
      </c>
      <c r="AN50" s="49">
        <f>100*(O50-N50)/N50</f>
        <v>266.90149031296573</v>
      </c>
      <c r="AO50" s="49">
        <f>100*(P50-O50)/O50</f>
        <v>-70.079641448973135</v>
      </c>
      <c r="AP50" s="49">
        <f>100*(Q50-P50)/P50</f>
        <v>11.130554484586192</v>
      </c>
      <c r="AQ50" s="49">
        <f>100*(R50-Q50)/Q50</f>
        <v>6.1818883680816441</v>
      </c>
      <c r="AR50" s="49">
        <f>100*(S50-R50)/R50</f>
        <v>-6.7830870932782261</v>
      </c>
      <c r="AS50" s="49">
        <f>100*(T50-S50)/S50</f>
        <v>-2.7184303058203318</v>
      </c>
      <c r="AT50" s="49">
        <f>100*(U50-T50)/T50</f>
        <v>9.5630540165765758</v>
      </c>
      <c r="AU50" s="49">
        <f>100*(V50-U50)/U50</f>
        <v>30.863166817006501</v>
      </c>
      <c r="AV50" s="49">
        <f>100*(W50-V50)/V50</f>
        <v>4.489471593166475</v>
      </c>
      <c r="AW50" s="49">
        <f>100*(X50-W50)/W50</f>
        <v>14.465690550187565</v>
      </c>
      <c r="AX50" s="49">
        <f>100*(Y50-X50)/X50</f>
        <v>7.197059091168021</v>
      </c>
      <c r="AY50" s="49">
        <f>100*(Z50-Y50)/Y50</f>
        <v>-4.9192082944264675</v>
      </c>
      <c r="AZ50" s="50">
        <f>100*(EXP(LN(Z50/O50)/11)-1)</f>
        <v>-5.1406599776131827</v>
      </c>
    </row>
    <row r="51" spans="1:52" ht="15" customHeight="1" x14ac:dyDescent="0.25">
      <c r="A51" s="1" t="s">
        <v>35</v>
      </c>
      <c r="B51" s="76">
        <v>45.242552218146464</v>
      </c>
      <c r="C51" s="76">
        <v>62.22953279075908</v>
      </c>
      <c r="D51" s="76">
        <f>51.117356489447-6.077</f>
        <v>45.040356489446999</v>
      </c>
      <c r="E51" s="76">
        <f>26.2487533069951-1.884</f>
        <v>24.364753306995098</v>
      </c>
      <c r="F51" s="89">
        <f>39.202-3.979</f>
        <v>35.222999999999999</v>
      </c>
      <c r="G51" s="76">
        <f>26.401-4.015</f>
        <v>22.385999999999999</v>
      </c>
      <c r="H51" s="76">
        <f>29.705-7.099</f>
        <v>22.605999999999998</v>
      </c>
      <c r="I51" s="76">
        <v>24.510999999999999</v>
      </c>
      <c r="J51" s="76">
        <v>24.690999999999999</v>
      </c>
      <c r="K51" s="76">
        <v>24.007000000000001</v>
      </c>
      <c r="L51" s="76">
        <v>20.794</v>
      </c>
      <c r="M51" s="89">
        <v>9.5579999999999998</v>
      </c>
      <c r="N51" s="89">
        <v>14.8</v>
      </c>
      <c r="O51" s="13">
        <v>24.403000000000002</v>
      </c>
      <c r="P51" s="13">
        <v>21.516000000000002</v>
      </c>
      <c r="Q51" s="13">
        <v>17.341999999999999</v>
      </c>
      <c r="R51" s="13">
        <v>24.189</v>
      </c>
      <c r="S51" s="13">
        <v>19.687000000000001</v>
      </c>
      <c r="T51" s="13">
        <v>11.477</v>
      </c>
      <c r="U51" s="13">
        <v>13.332000000000001</v>
      </c>
      <c r="V51" s="13">
        <v>17.202000000000002</v>
      </c>
      <c r="W51" s="13">
        <v>16.164999999999999</v>
      </c>
      <c r="X51" s="13">
        <v>22.809000000000001</v>
      </c>
      <c r="Y51" s="13">
        <v>27.568999999999999</v>
      </c>
      <c r="Z51" s="13">
        <v>11.707000000000001</v>
      </c>
      <c r="AA51" s="3"/>
      <c r="AB51" s="3"/>
      <c r="AC51" s="3"/>
      <c r="AD51" s="18"/>
      <c r="AE51" s="18"/>
      <c r="AF51" s="18"/>
      <c r="AG51" s="18"/>
      <c r="AH51" s="18"/>
      <c r="AI51" s="18"/>
      <c r="AJ51" s="18"/>
      <c r="AK51" s="18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50"/>
    </row>
    <row r="52" spans="1:52" ht="15" customHeight="1" x14ac:dyDescent="0.25">
      <c r="A52" s="1" t="s">
        <v>44</v>
      </c>
      <c r="B52" s="79">
        <v>9.9230876612291503</v>
      </c>
      <c r="C52" s="79">
        <v>7.7366446172295076</v>
      </c>
      <c r="D52" s="79">
        <v>14.176728509367226</v>
      </c>
      <c r="E52" s="79">
        <v>22.768945108506436</v>
      </c>
      <c r="F52" s="91">
        <v>47.207000000000001</v>
      </c>
      <c r="G52" s="79">
        <v>21.119</v>
      </c>
      <c r="H52" s="79">
        <v>23.38</v>
      </c>
      <c r="I52" s="79">
        <v>21.722999999999999</v>
      </c>
      <c r="J52" s="79">
        <v>30.827000000000002</v>
      </c>
      <c r="K52" s="79">
        <v>29.366</v>
      </c>
      <c r="L52" s="79">
        <v>53.058999999999997</v>
      </c>
      <c r="M52" s="91">
        <v>43</v>
      </c>
      <c r="N52" s="91">
        <v>38.408999999999999</v>
      </c>
      <c r="O52" s="14">
        <v>24.768000000000001</v>
      </c>
      <c r="P52" s="14">
        <v>36</v>
      </c>
      <c r="Q52" s="14">
        <v>82.153999999999996</v>
      </c>
      <c r="R52" s="14">
        <v>26.706</v>
      </c>
      <c r="S52" s="14">
        <v>26.433</v>
      </c>
      <c r="T52" s="14">
        <v>46.058</v>
      </c>
      <c r="U52" s="14">
        <v>34.277999999999999</v>
      </c>
      <c r="V52" s="69">
        <v>60.152000000000001</v>
      </c>
      <c r="W52" s="14">
        <v>127.32600000000001</v>
      </c>
      <c r="X52" s="14">
        <v>33.195999999999998</v>
      </c>
      <c r="Y52" s="69">
        <v>40.957000000000001</v>
      </c>
      <c r="Z52" s="69">
        <v>124.9</v>
      </c>
      <c r="AD52" s="18"/>
      <c r="AE52" s="18"/>
      <c r="AF52" s="18"/>
      <c r="AG52" s="18"/>
      <c r="AH52" s="18"/>
      <c r="AI52" s="18"/>
      <c r="AJ52" s="18"/>
      <c r="AK52" s="18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50"/>
    </row>
    <row r="53" spans="1:52" s="37" customFormat="1" ht="17.25" customHeight="1" x14ac:dyDescent="0.25">
      <c r="A53" s="37" t="s">
        <v>39</v>
      </c>
      <c r="B53" s="76">
        <f>B46+B47+B48+B50+B51+B52</f>
        <v>-9.7012644154101544</v>
      </c>
      <c r="C53" s="76">
        <f>C46+C47+C48+C50+C51+C52</f>
        <v>-2.5228188969226801</v>
      </c>
      <c r="D53" s="76">
        <f t="shared" ref="D53:I53" si="15">D46+D47+D48+D50+D51+D52</f>
        <v>49.230119766622849</v>
      </c>
      <c r="E53" s="76">
        <f t="shared" si="15"/>
        <v>-55.406989553847744</v>
      </c>
      <c r="F53" s="76">
        <f t="shared" si="15"/>
        <v>-66.865000000000009</v>
      </c>
      <c r="G53" s="76">
        <f t="shared" si="15"/>
        <v>-70.829000000000519</v>
      </c>
      <c r="H53" s="76">
        <f t="shared" si="15"/>
        <v>-64.671000000000674</v>
      </c>
      <c r="I53" s="76">
        <f t="shared" si="15"/>
        <v>-82.868999999999389</v>
      </c>
      <c r="J53" s="76">
        <v>-109.20199999999997</v>
      </c>
      <c r="K53" s="76">
        <v>-175.6450000000001</v>
      </c>
      <c r="L53" s="76">
        <v>-149.57800000000145</v>
      </c>
      <c r="M53" s="89">
        <v>-72.489999999999952</v>
      </c>
      <c r="N53" s="89">
        <v>-129.03399999999999</v>
      </c>
      <c r="O53" s="70">
        <f t="shared" ref="O53:U53" si="16">O46+O47+O48+O50+O51+O52</f>
        <v>-1878.8590000000002</v>
      </c>
      <c r="P53" s="70">
        <f t="shared" si="16"/>
        <v>-196.45999999999989</v>
      </c>
      <c r="Q53" s="70">
        <f t="shared" si="16"/>
        <v>-278.71999999999946</v>
      </c>
      <c r="R53" s="70">
        <f t="shared" si="16"/>
        <v>-183.08399999999847</v>
      </c>
      <c r="S53" s="70">
        <f t="shared" si="16"/>
        <v>-37.407999999999795</v>
      </c>
      <c r="T53" s="70">
        <f t="shared" si="16"/>
        <v>62.84099999999799</v>
      </c>
      <c r="U53" s="70">
        <f t="shared" si="16"/>
        <v>-31.530000000000449</v>
      </c>
      <c r="V53" s="70">
        <f>V46+V47+V48+V50+V51+V52</f>
        <v>-345.10500000000212</v>
      </c>
      <c r="W53" s="70">
        <f t="shared" ref="W53:AK53" si="17">W46+W47+W48+W50+W51+W52</f>
        <v>-451.92200000000014</v>
      </c>
      <c r="X53" s="70">
        <f t="shared" si="17"/>
        <v>-763.22299999999825</v>
      </c>
      <c r="Y53" s="70">
        <f t="shared" si="17"/>
        <v>-787.373999999999</v>
      </c>
      <c r="Z53" s="70">
        <f t="shared" si="17"/>
        <v>-400.77500000000077</v>
      </c>
      <c r="AA53" s="70">
        <f t="shared" si="17"/>
        <v>0</v>
      </c>
      <c r="AB53" s="70">
        <f t="shared" si="17"/>
        <v>-0.33917467495760789</v>
      </c>
      <c r="AC53" s="70">
        <f t="shared" si="17"/>
        <v>-1.8940556557006663</v>
      </c>
      <c r="AD53" s="70">
        <f t="shared" si="17"/>
        <v>12.837271319274404</v>
      </c>
      <c r="AE53" s="70">
        <f t="shared" si="17"/>
        <v>20.720444195258079</v>
      </c>
      <c r="AF53" s="70">
        <f t="shared" si="17"/>
        <v>2.4645683598481694</v>
      </c>
      <c r="AG53" s="70">
        <f t="shared" si="17"/>
        <v>16.050361803055011</v>
      </c>
      <c r="AH53" s="70">
        <f t="shared" si="17"/>
        <v>0.82726713215475023</v>
      </c>
      <c r="AI53" s="70">
        <f t="shared" si="17"/>
        <v>9.8501751254504484</v>
      </c>
      <c r="AJ53" s="70">
        <f t="shared" si="17"/>
        <v>18.502160437644321</v>
      </c>
      <c r="AK53" s="70">
        <f t="shared" si="17"/>
        <v>-6.0690926436465631</v>
      </c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0"/>
    </row>
    <row r="54" spans="1:52" ht="7.5" customHeight="1" x14ac:dyDescent="0.25">
      <c r="A54" s="1"/>
      <c r="B54" s="76"/>
      <c r="C54" s="76"/>
      <c r="D54" s="76"/>
      <c r="E54" s="76"/>
      <c r="F54" s="89"/>
      <c r="G54" s="76"/>
      <c r="H54" s="76"/>
      <c r="I54" s="76"/>
      <c r="J54" s="76"/>
      <c r="K54" s="76"/>
      <c r="L54" s="76"/>
      <c r="M54" s="89"/>
      <c r="N54" s="89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D54" s="23"/>
      <c r="AE54" s="23"/>
      <c r="AF54" s="23"/>
      <c r="AG54" s="23"/>
      <c r="AH54" s="23"/>
      <c r="AI54" s="23"/>
      <c r="AJ54" s="23"/>
      <c r="AK54" s="23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50"/>
    </row>
    <row r="55" spans="1:52" ht="14.25" customHeight="1" x14ac:dyDescent="0.25">
      <c r="A55" s="8" t="s">
        <v>40</v>
      </c>
      <c r="B55" s="76"/>
      <c r="C55" s="76"/>
      <c r="D55" s="76"/>
      <c r="E55" s="76"/>
      <c r="F55" s="89"/>
      <c r="G55" s="76"/>
      <c r="H55" s="76"/>
      <c r="I55" s="76"/>
      <c r="J55" s="76"/>
      <c r="K55" s="76"/>
      <c r="L55" s="76"/>
      <c r="M55" s="89"/>
      <c r="N55" s="89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D55" s="23"/>
      <c r="AE55" s="23"/>
      <c r="AF55" s="23"/>
      <c r="AG55" s="23"/>
      <c r="AH55" s="23"/>
      <c r="AI55" s="23"/>
      <c r="AJ55" s="23"/>
      <c r="AK55" s="23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50"/>
    </row>
    <row r="56" spans="1:52" ht="15" customHeight="1" x14ac:dyDescent="0.25">
      <c r="A56" s="1" t="s">
        <v>22</v>
      </c>
      <c r="B56" s="76"/>
      <c r="C56" s="76"/>
      <c r="D56" s="76"/>
      <c r="E56" s="76"/>
      <c r="F56" s="89"/>
      <c r="G56" s="76"/>
      <c r="H56" s="76"/>
      <c r="I56" s="76"/>
      <c r="J56" s="76"/>
      <c r="K56" s="76"/>
      <c r="L56" s="76"/>
      <c r="M56" s="89"/>
      <c r="N56" s="89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D56" s="23"/>
      <c r="AE56" s="23"/>
      <c r="AF56" s="23"/>
      <c r="AG56" s="23"/>
      <c r="AH56" s="23"/>
      <c r="AI56" s="23"/>
      <c r="AJ56" s="23"/>
      <c r="AK56" s="23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50"/>
    </row>
    <row r="57" spans="1:52" ht="15" customHeight="1" x14ac:dyDescent="0.25">
      <c r="A57" s="1" t="s">
        <v>23</v>
      </c>
      <c r="B57" s="76">
        <v>-1.6818792646151104</v>
      </c>
      <c r="C57" s="76">
        <v>-2.6910068233841766</v>
      </c>
      <c r="D57" s="76">
        <v>-1.6768336268212651</v>
      </c>
      <c r="E57" s="76">
        <v>-2.2133531122334853</v>
      </c>
      <c r="F57" s="89">
        <v>-2.2269999999999999</v>
      </c>
      <c r="G57" s="76">
        <v>-30.757000000000001</v>
      </c>
      <c r="H57" s="76">
        <v>-38.567999999999998</v>
      </c>
      <c r="I57" s="76">
        <v>-43.384999999999998</v>
      </c>
      <c r="J57" s="76">
        <v>-29.431000000000001</v>
      </c>
      <c r="K57" s="76">
        <v>-30.170999999999999</v>
      </c>
      <c r="L57" s="76">
        <v>-23.542999999999999</v>
      </c>
      <c r="M57" s="89">
        <v>-19</v>
      </c>
      <c r="N57" s="89">
        <v>-15.477</v>
      </c>
      <c r="O57" s="13">
        <v>-19.381</v>
      </c>
      <c r="P57" s="13">
        <v>-35.402999999999999</v>
      </c>
      <c r="Q57" s="13">
        <v>-11.002000000000001</v>
      </c>
      <c r="R57" s="13">
        <v>-8.4480000000000004</v>
      </c>
      <c r="S57" s="13">
        <v>-10.25</v>
      </c>
      <c r="T57" s="13">
        <v>-47.654000000000003</v>
      </c>
      <c r="U57" s="13">
        <v>-13.49</v>
      </c>
      <c r="V57" s="13">
        <v>-3.7160000000000002</v>
      </c>
      <c r="W57" s="13">
        <v>-1.998</v>
      </c>
      <c r="X57" s="13">
        <v>-9.1549999999999994</v>
      </c>
      <c r="Y57" s="13">
        <v>-9.19</v>
      </c>
      <c r="Z57" s="13">
        <v>-32.207000000000001</v>
      </c>
      <c r="AD57" s="23"/>
      <c r="AE57" s="23"/>
      <c r="AF57" s="23"/>
      <c r="AG57" s="23"/>
      <c r="AH57" s="23"/>
      <c r="AI57" s="23"/>
      <c r="AJ57" s="23"/>
      <c r="AK57" s="23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50"/>
    </row>
    <row r="58" spans="1:52" ht="15" customHeight="1" x14ac:dyDescent="0.25">
      <c r="A58" s="1" t="s">
        <v>24</v>
      </c>
      <c r="B58" s="76">
        <v>3.3637585292302208</v>
      </c>
      <c r="C58" s="76">
        <v>2.1864430439996432</v>
      </c>
      <c r="D58" s="76">
        <v>2.5181096349817431</v>
      </c>
      <c r="E58" s="76">
        <v>6.3435440223488113</v>
      </c>
      <c r="F58" s="89">
        <v>11.663</v>
      </c>
      <c r="G58" s="76">
        <v>29.640999999999998</v>
      </c>
      <c r="H58" s="76">
        <v>40.392000000000003</v>
      </c>
      <c r="I58" s="76">
        <v>42.128</v>
      </c>
      <c r="J58" s="76">
        <v>29.914000000000001</v>
      </c>
      <c r="K58" s="76">
        <v>31.03</v>
      </c>
      <c r="L58" s="76">
        <v>24.113</v>
      </c>
      <c r="M58" s="89">
        <v>17.13</v>
      </c>
      <c r="N58" s="89">
        <v>2.8780000000000001</v>
      </c>
      <c r="O58" s="13">
        <v>1.772</v>
      </c>
      <c r="P58" s="13">
        <v>2.4849999999999999</v>
      </c>
      <c r="Q58" s="13">
        <v>6.8680000000000003</v>
      </c>
      <c r="R58" s="13">
        <v>5.3500000000000005</v>
      </c>
      <c r="S58" s="13">
        <v>5.37</v>
      </c>
      <c r="T58" s="13">
        <v>7.5230000000000006</v>
      </c>
      <c r="U58" s="13">
        <v>5.3040000000000003</v>
      </c>
      <c r="V58" s="13">
        <v>7.1080000000000005</v>
      </c>
      <c r="W58" s="13">
        <v>5.3660000000000005</v>
      </c>
      <c r="X58" s="13">
        <v>11.151</v>
      </c>
      <c r="Y58" s="13">
        <v>10.932</v>
      </c>
      <c r="Z58" s="13">
        <v>9.82</v>
      </c>
      <c r="AD58" s="23"/>
      <c r="AE58" s="23"/>
      <c r="AF58" s="23"/>
      <c r="AG58" s="23"/>
      <c r="AH58" s="23"/>
      <c r="AI58" s="23"/>
      <c r="AJ58" s="23"/>
      <c r="AK58" s="23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50"/>
    </row>
    <row r="59" spans="1:52" ht="15" customHeight="1" x14ac:dyDescent="0.25">
      <c r="A59" s="1" t="s">
        <v>25</v>
      </c>
      <c r="B59" s="76"/>
      <c r="C59" s="76"/>
      <c r="D59" s="76"/>
      <c r="E59" s="76"/>
      <c r="F59" s="89"/>
      <c r="G59" s="76"/>
      <c r="H59" s="76"/>
      <c r="I59" s="76"/>
      <c r="J59" s="76"/>
      <c r="K59" s="76"/>
      <c r="L59" s="76"/>
      <c r="M59" s="89"/>
      <c r="N59" s="89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D59" s="23"/>
      <c r="AE59" s="23"/>
      <c r="AF59" s="23"/>
      <c r="AG59" s="23"/>
      <c r="AH59" s="23"/>
      <c r="AI59" s="23"/>
      <c r="AJ59" s="23"/>
      <c r="AK59" s="23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50"/>
    </row>
    <row r="60" spans="1:52" ht="15" customHeight="1" x14ac:dyDescent="0.25">
      <c r="A60" s="1" t="s">
        <v>26</v>
      </c>
      <c r="B60" s="76">
        <v>77.198258245833557</v>
      </c>
      <c r="C60" s="76">
        <v>51.129129644299354</v>
      </c>
      <c r="D60" s="76">
        <v>43.160217500626501</v>
      </c>
      <c r="E60" s="76">
        <v>52.99029723852243</v>
      </c>
      <c r="F60" s="89">
        <v>95.984999999999999</v>
      </c>
      <c r="G60" s="76">
        <v>117.59099999999999</v>
      </c>
      <c r="H60" s="76">
        <v>104.414</v>
      </c>
      <c r="I60" s="76">
        <v>125.72199999999999</v>
      </c>
      <c r="J60" s="76">
        <v>179.66300000000001</v>
      </c>
      <c r="K60" s="76">
        <v>147.619</v>
      </c>
      <c r="L60" s="76">
        <v>185.63900000000001</v>
      </c>
      <c r="M60" s="89">
        <v>177.54</v>
      </c>
      <c r="N60" s="89">
        <v>241.351</v>
      </c>
      <c r="O60" s="13">
        <v>1385.2919999999999</v>
      </c>
      <c r="P60" s="13">
        <v>261.87099999999998</v>
      </c>
      <c r="Q60" s="13">
        <v>278.90100000000001</v>
      </c>
      <c r="R60" s="13">
        <v>287.33</v>
      </c>
      <c r="S60" s="13">
        <v>213.97200000000001</v>
      </c>
      <c r="T60" s="13">
        <v>244.261</v>
      </c>
      <c r="U60" s="13">
        <v>298.56299999999999</v>
      </c>
      <c r="V60" s="13">
        <v>574.47299999999996</v>
      </c>
      <c r="W60" s="13">
        <v>560.87599999999998</v>
      </c>
      <c r="X60" s="13">
        <v>863.11400000000003</v>
      </c>
      <c r="Y60" s="13">
        <v>1092.7619999999999</v>
      </c>
      <c r="Z60" s="13">
        <v>974.524</v>
      </c>
      <c r="AB60" s="18">
        <f t="shared" ref="AB60:AK61" si="18">100*(C60-B60)/B60</f>
        <v>-33.769063180827878</v>
      </c>
      <c r="AC60" s="18">
        <f t="shared" si="18"/>
        <v>-15.585855263157892</v>
      </c>
      <c r="AD60" s="18">
        <f t="shared" si="18"/>
        <v>22.775788230801286</v>
      </c>
      <c r="AE60" s="18">
        <f t="shared" si="18"/>
        <v>81.136934499438226</v>
      </c>
      <c r="AF60" s="18">
        <f t="shared" si="18"/>
        <v>22.509767151117355</v>
      </c>
      <c r="AG60" s="18">
        <f t="shared" si="18"/>
        <v>-11.205789558724728</v>
      </c>
      <c r="AH60" s="18">
        <f t="shared" si="18"/>
        <v>20.407225084758743</v>
      </c>
      <c r="AI60" s="18">
        <f t="shared" si="18"/>
        <v>42.904980830721762</v>
      </c>
      <c r="AJ60" s="18">
        <f t="shared" si="18"/>
        <v>-17.83561445595365</v>
      </c>
      <c r="AK60" s="18">
        <f t="shared" si="18"/>
        <v>25.75549217919103</v>
      </c>
      <c r="AL60" s="49">
        <f t="shared" ref="AL60:AT61" si="19">100*(M60-L60)/L60</f>
        <v>-4.3627685992706366</v>
      </c>
      <c r="AM60" s="49">
        <f t="shared" si="19"/>
        <v>35.941759603469642</v>
      </c>
      <c r="AN60" s="49">
        <f t="shared" si="19"/>
        <v>473.97400466540421</v>
      </c>
      <c r="AO60" s="49">
        <f t="shared" si="19"/>
        <v>-81.096332036855756</v>
      </c>
      <c r="AP60" s="49">
        <f t="shared" si="19"/>
        <v>6.5032019582160796</v>
      </c>
      <c r="AQ60" s="49">
        <f t="shared" si="19"/>
        <v>3.0222193538208804</v>
      </c>
      <c r="AR60" s="49">
        <f t="shared" si="19"/>
        <v>-25.530922632513132</v>
      </c>
      <c r="AS60" s="49">
        <f t="shared" si="19"/>
        <v>14.155590451087052</v>
      </c>
      <c r="AT60" s="49">
        <f t="shared" si="19"/>
        <v>22.231138004020284</v>
      </c>
      <c r="AU60" s="49">
        <f>100*(V60-U60)/U60</f>
        <v>92.41265662523486</v>
      </c>
      <c r="AV60" s="49">
        <f t="shared" ref="AV60:AY61" si="20">100*(W60-V60)/V60</f>
        <v>-2.3668649353407352</v>
      </c>
      <c r="AW60" s="49">
        <f t="shared" si="20"/>
        <v>53.886777112944763</v>
      </c>
      <c r="AX60" s="49">
        <f t="shared" si="20"/>
        <v>26.606914034530771</v>
      </c>
      <c r="AY60" s="49">
        <f t="shared" si="20"/>
        <v>-10.82010538433803</v>
      </c>
      <c r="AZ60" s="50">
        <f>100*(EXP(LN(Z60/O60)/11)-1)</f>
        <v>-3.1468507616980945</v>
      </c>
    </row>
    <row r="61" spans="1:52" ht="15" customHeight="1" x14ac:dyDescent="0.25">
      <c r="A61" s="1" t="s">
        <v>27</v>
      </c>
      <c r="B61" s="76">
        <v>-131.69114641936312</v>
      </c>
      <c r="C61" s="76">
        <v>-153.21920100643655</v>
      </c>
      <c r="D61" s="76">
        <v>-167.2822344775158</v>
      </c>
      <c r="E61" s="76">
        <v>-101.63327295386773</v>
      </c>
      <c r="F61" s="89">
        <v>-88.944000000000003</v>
      </c>
      <c r="G61" s="76">
        <v>-47.405000000000001</v>
      </c>
      <c r="H61" s="76">
        <v>-47.31</v>
      </c>
      <c r="I61" s="76">
        <v>-55.613999999999997</v>
      </c>
      <c r="J61" s="76">
        <v>-63.914000000000001</v>
      </c>
      <c r="K61" s="76">
        <v>-65.647999999999996</v>
      </c>
      <c r="L61" s="76">
        <v>-75.972999999999999</v>
      </c>
      <c r="M61" s="89">
        <v>-74.400000000000006</v>
      </c>
      <c r="N61" s="89">
        <v>-98.501000000000005</v>
      </c>
      <c r="O61" s="13">
        <v>-120.319</v>
      </c>
      <c r="P61" s="13">
        <v>-110.595</v>
      </c>
      <c r="Q61" s="13">
        <v>-120.12700000000001</v>
      </c>
      <c r="R61" s="13">
        <v>-126.997</v>
      </c>
      <c r="S61" s="13">
        <v>-140.15700000000001</v>
      </c>
      <c r="T61" s="13">
        <v>-171.66499999999999</v>
      </c>
      <c r="U61" s="13">
        <v>-175.15800000000002</v>
      </c>
      <c r="V61" s="13">
        <v>-161.44499999999999</v>
      </c>
      <c r="W61" s="13">
        <v>-215.67400000000001</v>
      </c>
      <c r="X61" s="13">
        <v>-196.66900000000001</v>
      </c>
      <c r="Y61" s="13">
        <v>-228.44200000000001</v>
      </c>
      <c r="Z61" s="13">
        <v>-271.27499999999998</v>
      </c>
      <c r="AB61" s="18">
        <f t="shared" si="18"/>
        <v>16.347381864623259</v>
      </c>
      <c r="AC61" s="18">
        <f t="shared" si="18"/>
        <v>9.1783754116355709</v>
      </c>
      <c r="AD61" s="18">
        <f t="shared" si="18"/>
        <v>-39.244431262347746</v>
      </c>
      <c r="AE61" s="18">
        <f t="shared" si="18"/>
        <v>-12.48535305915761</v>
      </c>
      <c r="AF61" s="18">
        <f t="shared" si="18"/>
        <v>-46.702419499910057</v>
      </c>
      <c r="AG61" s="18">
        <f t="shared" si="18"/>
        <v>-0.200400801603204</v>
      </c>
      <c r="AH61" s="18">
        <f t="shared" si="18"/>
        <v>17.552314521242856</v>
      </c>
      <c r="AI61" s="18">
        <f t="shared" si="18"/>
        <v>14.924299636782115</v>
      </c>
      <c r="AJ61" s="18">
        <f t="shared" si="18"/>
        <v>2.7130206214600787</v>
      </c>
      <c r="AK61" s="18">
        <f t="shared" si="18"/>
        <v>15.727821106507438</v>
      </c>
      <c r="AL61" s="49">
        <f t="shared" si="19"/>
        <v>-2.0704724046700713</v>
      </c>
      <c r="AM61" s="49">
        <f t="shared" si="19"/>
        <v>32.393817204301072</v>
      </c>
      <c r="AN61" s="49">
        <f t="shared" si="19"/>
        <v>22.150028933716406</v>
      </c>
      <c r="AO61" s="49">
        <f t="shared" si="19"/>
        <v>-8.0818490845169944</v>
      </c>
      <c r="AP61" s="49">
        <f t="shared" si="19"/>
        <v>8.618834486188355</v>
      </c>
      <c r="AQ61" s="49">
        <f t="shared" si="19"/>
        <v>5.7189474472849486</v>
      </c>
      <c r="AR61" s="49">
        <f t="shared" si="19"/>
        <v>10.362449506681269</v>
      </c>
      <c r="AS61" s="49">
        <f t="shared" si="19"/>
        <v>22.48050400622158</v>
      </c>
      <c r="AT61" s="49">
        <f t="shared" si="19"/>
        <v>2.0347770366702727</v>
      </c>
      <c r="AU61" s="49">
        <f>100*(V61-U61)/U61</f>
        <v>-7.82893159319016</v>
      </c>
      <c r="AV61" s="49">
        <f t="shared" si="20"/>
        <v>33.589767413050893</v>
      </c>
      <c r="AW61" s="49">
        <f t="shared" si="20"/>
        <v>-8.8119105687287274</v>
      </c>
      <c r="AX61" s="49">
        <f t="shared" si="20"/>
        <v>16.15557103559788</v>
      </c>
      <c r="AY61" s="49">
        <f t="shared" si="20"/>
        <v>18.750054718484328</v>
      </c>
      <c r="AZ61" s="50">
        <f>100*(EXP(LN(Z61/O61)/11)-1)</f>
        <v>7.6707598717120629</v>
      </c>
    </row>
    <row r="62" spans="1:52" ht="15" customHeight="1" x14ac:dyDescent="0.25">
      <c r="A62" s="1" t="s">
        <v>28</v>
      </c>
      <c r="B62" s="76">
        <v>-1.1773154852305772</v>
      </c>
      <c r="C62" s="76">
        <v>-1.8500671910766213</v>
      </c>
      <c r="D62" s="76">
        <v>-9.2600908551178733</v>
      </c>
      <c r="E62" s="76">
        <v>-6.740972092577362</v>
      </c>
      <c r="F62" s="89">
        <v>17.896999999999998</v>
      </c>
      <c r="G62" s="76">
        <v>9.4760000000000009</v>
      </c>
      <c r="H62" s="76">
        <v>-16.488</v>
      </c>
      <c r="I62" s="76">
        <v>8.1690000000000005</v>
      </c>
      <c r="J62" s="76">
        <v>19.957000000000001</v>
      </c>
      <c r="K62" s="76">
        <v>-1.2330000000000001</v>
      </c>
      <c r="L62" s="76">
        <v>11.691000000000001</v>
      </c>
      <c r="M62" s="89">
        <v>7</v>
      </c>
      <c r="N62" s="89">
        <v>9.7070000000000007</v>
      </c>
      <c r="O62" s="13">
        <v>44.489000000000004</v>
      </c>
      <c r="P62" s="13">
        <v>-5.7860000000000005</v>
      </c>
      <c r="Q62" s="13">
        <v>90.528999999999996</v>
      </c>
      <c r="R62" s="13">
        <v>23.234999999999999</v>
      </c>
      <c r="S62" s="13">
        <v>14.741</v>
      </c>
      <c r="T62" s="13">
        <v>-28.498000000000001</v>
      </c>
      <c r="U62" s="13">
        <v>11.71</v>
      </c>
      <c r="V62" s="13">
        <v>-51.417000000000002</v>
      </c>
      <c r="W62" s="13">
        <v>70.578000000000003</v>
      </c>
      <c r="X62" s="13">
        <v>142.86600000000001</v>
      </c>
      <c r="Y62" s="13">
        <v>-45.828000000000003</v>
      </c>
      <c r="Z62" s="13">
        <v>-39.143000000000001</v>
      </c>
      <c r="AD62" s="23"/>
      <c r="AE62" s="23"/>
      <c r="AF62" s="23"/>
      <c r="AG62" s="23"/>
      <c r="AH62" s="23"/>
      <c r="AI62" s="23"/>
      <c r="AJ62" s="23"/>
      <c r="AK62" s="23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50"/>
    </row>
    <row r="63" spans="1:52" ht="15" customHeight="1" x14ac:dyDescent="0.25">
      <c r="A63" s="1" t="s">
        <v>29</v>
      </c>
      <c r="B63" s="76">
        <v>111.50859524398182</v>
      </c>
      <c r="C63" s="76">
        <v>93.848862965523153</v>
      </c>
      <c r="D63" s="76">
        <v>93.39744657090047</v>
      </c>
      <c r="E63" s="76">
        <v>60.705245613238411</v>
      </c>
      <c r="F63" s="89">
        <v>41.929000000000002</v>
      </c>
      <c r="G63" s="76">
        <v>21.004000000000001</v>
      </c>
      <c r="H63" s="76">
        <v>5.556</v>
      </c>
      <c r="I63" s="76">
        <v>15.537000000000001</v>
      </c>
      <c r="J63" s="76">
        <v>8.468</v>
      </c>
      <c r="K63" s="76">
        <v>11.583</v>
      </c>
      <c r="L63" s="76">
        <v>15.295</v>
      </c>
      <c r="M63" s="89">
        <v>2.5150000000000001</v>
      </c>
      <c r="N63" s="89">
        <v>14.663</v>
      </c>
      <c r="O63" s="13">
        <v>493.00400000000002</v>
      </c>
      <c r="P63" s="13">
        <v>9.0920000000000005</v>
      </c>
      <c r="Q63" s="13">
        <v>-13.495000000000001</v>
      </c>
      <c r="R63" s="13">
        <v>-20.873999999999999</v>
      </c>
      <c r="S63" s="13">
        <v>-8.0809999999999995</v>
      </c>
      <c r="T63" s="13">
        <v>-10.496</v>
      </c>
      <c r="U63" s="13">
        <v>-24.417999999999999</v>
      </c>
      <c r="V63" s="13">
        <v>-16.277000000000001</v>
      </c>
      <c r="W63" s="13">
        <v>-35.03</v>
      </c>
      <c r="X63" s="13">
        <v>-4.2080000000000002</v>
      </c>
      <c r="Y63" s="13">
        <v>23.044</v>
      </c>
      <c r="Z63" s="13">
        <v>-0.73599999999999999</v>
      </c>
      <c r="AD63" s="23"/>
      <c r="AE63" s="23"/>
      <c r="AF63" s="23"/>
      <c r="AG63" s="23"/>
      <c r="AH63" s="23"/>
      <c r="AI63" s="23"/>
      <c r="AJ63" s="23"/>
      <c r="AK63" s="23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50"/>
    </row>
    <row r="64" spans="1:52" ht="15" customHeight="1" x14ac:dyDescent="0.25">
      <c r="A64" s="1" t="s">
        <v>30</v>
      </c>
      <c r="B64" s="79">
        <v>0</v>
      </c>
      <c r="C64" s="79">
        <v>-12.445906558151815</v>
      </c>
      <c r="D64" s="79">
        <v>-4.0365102350762649</v>
      </c>
      <c r="E64" s="79">
        <v>77.444485370173226</v>
      </c>
      <c r="F64" s="91">
        <v>-81.709000000000003</v>
      </c>
      <c r="G64" s="79">
        <v>82.55</v>
      </c>
      <c r="H64" s="79">
        <v>51.385999999999996</v>
      </c>
      <c r="I64" s="79">
        <v>31.331000000000003</v>
      </c>
      <c r="J64" s="79">
        <v>29.846</v>
      </c>
      <c r="K64" s="79">
        <v>34.624000000000002</v>
      </c>
      <c r="L64" s="79">
        <v>-11.896999999999998</v>
      </c>
      <c r="M64" s="91">
        <v>17</v>
      </c>
      <c r="N64" s="91">
        <v>43.063000000000002</v>
      </c>
      <c r="O64" s="14">
        <v>184.041</v>
      </c>
      <c r="P64" s="14">
        <v>70.191000000000003</v>
      </c>
      <c r="Q64" s="14">
        <v>127.42700000000001</v>
      </c>
      <c r="R64" s="14">
        <v>43.53</v>
      </c>
      <c r="S64" s="14">
        <v>118.27800000000001</v>
      </c>
      <c r="T64" s="14">
        <v>-27.775000000000002</v>
      </c>
      <c r="U64" s="14">
        <v>21.928000000000001</v>
      </c>
      <c r="V64" s="69">
        <v>124.658</v>
      </c>
      <c r="W64" s="69">
        <v>11.583</v>
      </c>
      <c r="X64" s="69">
        <v>60.942999999999998</v>
      </c>
      <c r="Y64" s="69">
        <v>186.48099999999999</v>
      </c>
      <c r="Z64" s="69">
        <v>-67.400999999999996</v>
      </c>
      <c r="AD64" s="23"/>
      <c r="AE64" s="23"/>
      <c r="AF64" s="23"/>
      <c r="AG64" s="23"/>
      <c r="AH64" s="23"/>
      <c r="AI64" s="23"/>
      <c r="AJ64" s="23"/>
      <c r="AK64" s="23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50"/>
    </row>
    <row r="65" spans="1:52" ht="15" customHeight="1" x14ac:dyDescent="0.25">
      <c r="A65" s="1" t="s">
        <v>40</v>
      </c>
      <c r="B65" s="76">
        <f>B57+B58+B60+B61+B62+B63+B64</f>
        <v>57.520270849836777</v>
      </c>
      <c r="C65" s="76">
        <f>C57+C58+C60+C61+C62+C63+C64</f>
        <v>-23.041745925227016</v>
      </c>
      <c r="D65" s="76">
        <f t="shared" ref="D65:I65" si="21">D57+D58+D60+D61+D62+D63+D64</f>
        <v>-43.179895488022495</v>
      </c>
      <c r="E65" s="76">
        <f t="shared" si="21"/>
        <v>86.895974085604308</v>
      </c>
      <c r="F65" s="76">
        <f t="shared" si="21"/>
        <v>-5.4060000000000059</v>
      </c>
      <c r="G65" s="76">
        <f t="shared" si="21"/>
        <v>182.1</v>
      </c>
      <c r="H65" s="76">
        <f t="shared" si="21"/>
        <v>99.381999999999991</v>
      </c>
      <c r="I65" s="76">
        <f t="shared" si="21"/>
        <v>123.88800000000001</v>
      </c>
      <c r="J65" s="76">
        <v>174.50300000000001</v>
      </c>
      <c r="K65" s="76">
        <v>127.804</v>
      </c>
      <c r="L65" s="76">
        <v>125.32500000000002</v>
      </c>
      <c r="M65" s="89">
        <v>127.78499999999998</v>
      </c>
      <c r="N65" s="89">
        <v>197.68400000000003</v>
      </c>
      <c r="O65" s="71">
        <f t="shared" ref="O65:U65" si="22">O57+O58+O60+O61+O62+O63+O64</f>
        <v>1968.8979999999999</v>
      </c>
      <c r="P65" s="71">
        <f t="shared" si="22"/>
        <v>191.85499999999996</v>
      </c>
      <c r="Q65" s="71">
        <f t="shared" si="22"/>
        <v>359.101</v>
      </c>
      <c r="R65" s="71">
        <f t="shared" si="22"/>
        <v>203.12599999999998</v>
      </c>
      <c r="S65" s="71">
        <f t="shared" si="22"/>
        <v>193.87299999999999</v>
      </c>
      <c r="T65" s="71">
        <f t="shared" si="22"/>
        <v>-34.304000000000002</v>
      </c>
      <c r="U65" s="71">
        <f t="shared" si="22"/>
        <v>124.43899999999999</v>
      </c>
      <c r="V65" s="71">
        <f>V57+V58+V60+V61+V62+V63+V64</f>
        <v>473.38400000000007</v>
      </c>
      <c r="W65" s="71">
        <f t="shared" ref="W65:Z65" si="23">W57+W58+W60+W61+W62+W63+W64</f>
        <v>395.70100000000008</v>
      </c>
      <c r="X65" s="71">
        <f t="shared" si="23"/>
        <v>868.04200000000003</v>
      </c>
      <c r="Y65" s="71">
        <f t="shared" si="23"/>
        <v>1029.759</v>
      </c>
      <c r="Z65" s="71">
        <f t="shared" si="23"/>
        <v>573.58199999999999</v>
      </c>
      <c r="AD65" s="23"/>
      <c r="AE65" s="23"/>
      <c r="AF65" s="23"/>
      <c r="AG65" s="23"/>
      <c r="AH65" s="23"/>
      <c r="AI65" s="23"/>
      <c r="AJ65" s="23"/>
      <c r="AK65" s="23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50"/>
    </row>
    <row r="66" spans="1:52" ht="9" customHeight="1" x14ac:dyDescent="0.25">
      <c r="A66" s="1"/>
      <c r="B66" s="76"/>
      <c r="C66" s="76"/>
      <c r="D66" s="76"/>
      <c r="E66" s="76"/>
      <c r="F66" s="89"/>
      <c r="G66" s="76"/>
      <c r="H66" s="76"/>
      <c r="I66" s="76"/>
      <c r="J66" s="76"/>
      <c r="K66" s="76"/>
      <c r="L66" s="76"/>
      <c r="M66" s="89"/>
      <c r="N66" s="89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D66" s="23"/>
      <c r="AE66" s="23"/>
      <c r="AF66" s="23"/>
      <c r="AG66" s="23"/>
      <c r="AH66" s="23"/>
      <c r="AI66" s="23"/>
      <c r="AJ66" s="23"/>
      <c r="AK66" s="23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50"/>
    </row>
    <row r="67" spans="1:52" ht="13.5" customHeight="1" x14ac:dyDescent="0.25">
      <c r="A67" s="8" t="s">
        <v>41</v>
      </c>
      <c r="B67" s="76">
        <f>B53+B65</f>
        <v>47.819006434426626</v>
      </c>
      <c r="C67" s="76">
        <f>C53+C65</f>
        <v>-25.564564822149695</v>
      </c>
      <c r="D67" s="76">
        <f t="shared" ref="D67:I67" si="24">D53+D65</f>
        <v>6.0502242786003535</v>
      </c>
      <c r="E67" s="76">
        <f t="shared" si="24"/>
        <v>31.488984531756564</v>
      </c>
      <c r="F67" s="76">
        <f t="shared" si="24"/>
        <v>-72.271000000000015</v>
      </c>
      <c r="G67" s="76">
        <f t="shared" si="24"/>
        <v>111.27099999999947</v>
      </c>
      <c r="H67" s="76">
        <f t="shared" si="24"/>
        <v>34.710999999999316</v>
      </c>
      <c r="I67" s="76">
        <f t="shared" si="24"/>
        <v>41.019000000000617</v>
      </c>
      <c r="J67" s="76">
        <v>65.301000000000045</v>
      </c>
      <c r="K67" s="76">
        <v>-47.841000000000093</v>
      </c>
      <c r="L67" s="76">
        <v>-24.253000000001435</v>
      </c>
      <c r="M67" s="89">
        <v>55.29500000000003</v>
      </c>
      <c r="N67" s="89">
        <v>68.650000000000034</v>
      </c>
      <c r="O67" s="13">
        <f t="shared" ref="O67:U67" si="25">O65+O53</f>
        <v>90.03899999999976</v>
      </c>
      <c r="P67" s="13">
        <f t="shared" si="25"/>
        <v>-4.6049999999999329</v>
      </c>
      <c r="Q67" s="13">
        <f t="shared" si="25"/>
        <v>80.38100000000054</v>
      </c>
      <c r="R67" s="13">
        <f t="shared" si="25"/>
        <v>20.042000000001508</v>
      </c>
      <c r="S67" s="13">
        <f t="shared" si="25"/>
        <v>156.4650000000002</v>
      </c>
      <c r="T67" s="13">
        <f t="shared" si="25"/>
        <v>28.536999999997988</v>
      </c>
      <c r="U67" s="13">
        <f t="shared" si="25"/>
        <v>92.908999999999537</v>
      </c>
      <c r="V67" s="13">
        <f>V65+V53</f>
        <v>128.27899999999795</v>
      </c>
      <c r="W67" s="13">
        <f t="shared" ref="W67:Z67" si="26">W65+W53</f>
        <v>-56.22100000000006</v>
      </c>
      <c r="X67" s="13">
        <f t="shared" si="26"/>
        <v>104.81900000000178</v>
      </c>
      <c r="Y67" s="13">
        <f t="shared" si="26"/>
        <v>242.38500000000101</v>
      </c>
      <c r="Z67" s="13">
        <f t="shared" si="26"/>
        <v>172.80699999999922</v>
      </c>
      <c r="AD67" s="23"/>
      <c r="AE67" s="23"/>
      <c r="AF67" s="23"/>
      <c r="AG67" s="23"/>
      <c r="AH67" s="23"/>
      <c r="AI67" s="23"/>
      <c r="AJ67" s="23"/>
      <c r="AK67" s="23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50"/>
    </row>
    <row r="68" spans="1:52" ht="8.25" customHeight="1" x14ac:dyDescent="0.25">
      <c r="A68" s="1"/>
      <c r="B68" s="76"/>
      <c r="C68" s="76"/>
      <c r="D68" s="76"/>
      <c r="E68" s="76"/>
      <c r="F68" s="89"/>
      <c r="G68" s="76"/>
      <c r="H68" s="76"/>
      <c r="I68" s="76"/>
      <c r="J68" s="76"/>
      <c r="K68" s="76"/>
      <c r="L68" s="76"/>
      <c r="M68" s="89"/>
      <c r="N68" s="89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D68" s="23"/>
      <c r="AE68" s="23"/>
      <c r="AF68" s="23"/>
      <c r="AG68" s="23"/>
      <c r="AH68" s="23"/>
      <c r="AI68" s="23"/>
      <c r="AJ68" s="23"/>
      <c r="AK68" s="23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50"/>
    </row>
    <row r="69" spans="1:52" ht="13.5" customHeight="1" x14ac:dyDescent="0.25">
      <c r="A69" s="1" t="s">
        <v>42</v>
      </c>
      <c r="B69" s="76">
        <v>398.43719778731963</v>
      </c>
      <c r="C69" s="76">
        <v>373.545384671016</v>
      </c>
      <c r="D69" s="76">
        <v>451.16949474665012</v>
      </c>
      <c r="E69" s="76">
        <v>490.02712871253823</v>
      </c>
      <c r="F69" s="89">
        <v>416.93799999999999</v>
      </c>
      <c r="G69" s="76">
        <v>519.98900000000003</v>
      </c>
      <c r="H69" s="76">
        <v>543.95900000000006</v>
      </c>
      <c r="I69" s="76">
        <v>583.88900000000001</v>
      </c>
      <c r="J69" s="76">
        <v>648.05999999999995</v>
      </c>
      <c r="K69" s="76">
        <v>596.97699999999998</v>
      </c>
      <c r="L69" s="76">
        <v>575.21199999999999</v>
      </c>
      <c r="M69" s="89">
        <v>632</v>
      </c>
      <c r="N69" s="89">
        <v>672.86099999999999</v>
      </c>
      <c r="O69" s="13">
        <v>747.37400000000002</v>
      </c>
      <c r="P69" s="13">
        <v>744.10900000000004</v>
      </c>
      <c r="Q69" s="13">
        <v>825.81200000000001</v>
      </c>
      <c r="R69" s="13">
        <v>808.57900000000006</v>
      </c>
      <c r="S69" s="13">
        <v>960.15499999999997</v>
      </c>
      <c r="T69" s="13">
        <v>957.5</v>
      </c>
      <c r="U69" s="3">
        <v>1046.5170000000001</v>
      </c>
      <c r="V69" s="3">
        <v>1169.1080000000002</v>
      </c>
      <c r="W69" s="3">
        <v>1113.27</v>
      </c>
      <c r="X69" s="3">
        <v>1211.1379999999999</v>
      </c>
      <c r="Y69" s="3">
        <v>1449.837</v>
      </c>
      <c r="Z69" s="3">
        <v>1604.7429999999999</v>
      </c>
      <c r="AB69" s="18">
        <f t="shared" ref="AB69:AT69" si="27">100*(C69-B69)/B69</f>
        <v>-6.2473617560151977</v>
      </c>
      <c r="AC69" s="18">
        <f t="shared" si="27"/>
        <v>20.780369203061689</v>
      </c>
      <c r="AD69" s="18">
        <f t="shared" si="27"/>
        <v>8.6126465592954684</v>
      </c>
      <c r="AE69" s="18">
        <f t="shared" si="27"/>
        <v>-14.915322934174547</v>
      </c>
      <c r="AF69" s="18">
        <f t="shared" si="27"/>
        <v>24.716144846475984</v>
      </c>
      <c r="AG69" s="18">
        <f t="shared" si="27"/>
        <v>4.6097128977728428</v>
      </c>
      <c r="AH69" s="18">
        <f t="shared" si="27"/>
        <v>7.3406267751797367</v>
      </c>
      <c r="AI69" s="18">
        <f t="shared" si="27"/>
        <v>10.990273836294215</v>
      </c>
      <c r="AJ69" s="18">
        <f t="shared" si="27"/>
        <v>-7.8824491559423482</v>
      </c>
      <c r="AK69" s="18">
        <f t="shared" si="27"/>
        <v>-3.6458691038348188</v>
      </c>
      <c r="AL69" s="49">
        <f t="shared" si="27"/>
        <v>9.8725339526991807</v>
      </c>
      <c r="AM69" s="49">
        <f t="shared" si="27"/>
        <v>6.4653481012658212</v>
      </c>
      <c r="AN69" s="49">
        <f t="shared" si="27"/>
        <v>11.074055414119711</v>
      </c>
      <c r="AO69" s="49">
        <f t="shared" si="27"/>
        <v>-0.43686293609357379</v>
      </c>
      <c r="AP69" s="49">
        <f t="shared" si="27"/>
        <v>10.979977395784754</v>
      </c>
      <c r="AQ69" s="49">
        <f t="shared" si="27"/>
        <v>-2.0867945730989557</v>
      </c>
      <c r="AR69" s="49">
        <f t="shared" si="27"/>
        <v>18.745972873398877</v>
      </c>
      <c r="AS69" s="49">
        <f t="shared" si="27"/>
        <v>-0.27651785388817146</v>
      </c>
      <c r="AT69" s="49">
        <f t="shared" si="27"/>
        <v>9.2968146214099256</v>
      </c>
      <c r="AU69" s="49">
        <f>100*(V69-U69)/U69</f>
        <v>11.714190978264101</v>
      </c>
      <c r="AV69" s="49">
        <f t="shared" ref="AV69:AY69" si="28">100*(W69-V69)/V69</f>
        <v>-4.7761199136435799</v>
      </c>
      <c r="AW69" s="49">
        <f t="shared" si="28"/>
        <v>8.7910390112012298</v>
      </c>
      <c r="AX69" s="49">
        <f t="shared" si="28"/>
        <v>19.708654174833924</v>
      </c>
      <c r="AY69" s="49">
        <f t="shared" si="28"/>
        <v>10.684373484743453</v>
      </c>
      <c r="AZ69" s="50">
        <f>100*(EXP(LN(Y69/O69)/10)-1)</f>
        <v>6.8508839560566859</v>
      </c>
    </row>
    <row r="70" spans="1:52" ht="8.25" customHeight="1" x14ac:dyDescent="0.25">
      <c r="A70" s="1"/>
      <c r="B70" s="76"/>
      <c r="C70" s="76"/>
      <c r="D70" s="76"/>
      <c r="E70" s="76"/>
      <c r="F70" s="89"/>
      <c r="G70" s="76"/>
      <c r="H70" s="76"/>
      <c r="I70" s="76"/>
      <c r="J70" s="76"/>
      <c r="K70" s="76"/>
      <c r="L70" s="76"/>
      <c r="M70" s="89"/>
      <c r="N70" s="89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D70" s="23"/>
      <c r="AE70" s="23"/>
      <c r="AF70" s="23"/>
      <c r="AG70" s="23"/>
      <c r="AH70" s="23"/>
      <c r="AI70" s="23"/>
      <c r="AJ70" s="23"/>
      <c r="AK70" s="23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50"/>
    </row>
    <row r="71" spans="1:52" ht="13.5" customHeight="1" x14ac:dyDescent="0.25">
      <c r="A71" s="1" t="s">
        <v>31</v>
      </c>
      <c r="B71" s="76">
        <v>502.37733634053342</v>
      </c>
      <c r="C71" s="76">
        <v>405.66927862516462</v>
      </c>
      <c r="D71" s="76">
        <v>317.77712745112882</v>
      </c>
      <c r="E71" s="76">
        <v>259.23746957900858</v>
      </c>
      <c r="F71" s="89">
        <v>292.84800000000001</v>
      </c>
      <c r="G71" s="76">
        <v>374.23100000000011</v>
      </c>
      <c r="H71" s="76">
        <v>414.95299999999997</v>
      </c>
      <c r="I71" s="76">
        <v>493.995</v>
      </c>
      <c r="J71" s="76">
        <v>629.20299999999997</v>
      </c>
      <c r="K71" s="76">
        <v>711.21799999999996</v>
      </c>
      <c r="L71" s="76">
        <v>824.13400000000001</v>
      </c>
      <c r="M71" s="89">
        <v>931</v>
      </c>
      <c r="N71" s="76">
        <v>1055.5740000000001</v>
      </c>
      <c r="O71" s="3">
        <v>2350.7339999999999</v>
      </c>
      <c r="P71" s="3">
        <v>2493.6790000000001</v>
      </c>
      <c r="Q71" s="3">
        <v>2741.4849999999997</v>
      </c>
      <c r="R71" s="3">
        <v>2910.1460000000002</v>
      </c>
      <c r="S71" s="3">
        <v>2996.11</v>
      </c>
      <c r="T71" s="3">
        <v>3042.9040000000005</v>
      </c>
      <c r="U71" s="3">
        <v>3172.4409999999998</v>
      </c>
      <c r="V71" s="3">
        <v>3461.8520000000003</v>
      </c>
      <c r="W71" s="3">
        <v>3881.1240000000003</v>
      </c>
      <c r="X71" s="3">
        <v>4674.58</v>
      </c>
      <c r="Y71" s="3">
        <v>5506.6279999999997</v>
      </c>
      <c r="Z71" s="3">
        <v>6164.7650000000003</v>
      </c>
      <c r="AB71" s="18">
        <f t="shared" ref="AB71:AT71" si="29">100*(C71-B71)/B71</f>
        <v>-19.250083696016063</v>
      </c>
      <c r="AC71" s="18">
        <f t="shared" si="29"/>
        <v>-21.665961857379763</v>
      </c>
      <c r="AD71" s="18">
        <f t="shared" si="29"/>
        <v>-18.42160835855724</v>
      </c>
      <c r="AE71" s="18">
        <f t="shared" si="29"/>
        <v>12.965151401752845</v>
      </c>
      <c r="AF71" s="18">
        <f t="shared" si="29"/>
        <v>27.790184669179947</v>
      </c>
      <c r="AG71" s="18">
        <f t="shared" si="29"/>
        <v>10.881514358778363</v>
      </c>
      <c r="AH71" s="18">
        <f t="shared" si="29"/>
        <v>19.048422351447037</v>
      </c>
      <c r="AI71" s="18">
        <f t="shared" si="29"/>
        <v>27.370317513335149</v>
      </c>
      <c r="AJ71" s="18">
        <f t="shared" si="29"/>
        <v>13.034743953859087</v>
      </c>
      <c r="AK71" s="18">
        <f t="shared" si="29"/>
        <v>15.876426074705655</v>
      </c>
      <c r="AL71" s="49">
        <f t="shared" si="29"/>
        <v>12.967066035377741</v>
      </c>
      <c r="AM71" s="49">
        <f t="shared" si="29"/>
        <v>13.380665950590769</v>
      </c>
      <c r="AN71" s="49">
        <f t="shared" si="29"/>
        <v>122.69722444849909</v>
      </c>
      <c r="AO71" s="49">
        <f t="shared" si="29"/>
        <v>6.0808666569675758</v>
      </c>
      <c r="AP71" s="49">
        <f t="shared" si="29"/>
        <v>9.9373656352722062</v>
      </c>
      <c r="AQ71" s="49">
        <f t="shared" si="29"/>
        <v>6.1521766487870817</v>
      </c>
      <c r="AR71" s="49">
        <f t="shared" si="29"/>
        <v>2.9539411424718875</v>
      </c>
      <c r="AS71" s="49">
        <f t="shared" si="29"/>
        <v>1.5618251666327445</v>
      </c>
      <c r="AT71" s="49">
        <f t="shared" si="29"/>
        <v>4.2570189529475568</v>
      </c>
      <c r="AU71" s="49">
        <f>100*(V71-U71)/U71</f>
        <v>9.1226598067545002</v>
      </c>
      <c r="AV71" s="49">
        <f t="shared" ref="AV71:AY71" si="30">100*(W71-V71)/V71</f>
        <v>12.111205216167528</v>
      </c>
      <c r="AW71" s="49">
        <f t="shared" si="30"/>
        <v>20.443974477496713</v>
      </c>
      <c r="AX71" s="49">
        <f t="shared" si="30"/>
        <v>17.799417273851336</v>
      </c>
      <c r="AY71" s="49">
        <f t="shared" si="30"/>
        <v>11.951724358355072</v>
      </c>
      <c r="AZ71" s="50">
        <f>100*(EXP(LN(Y71/O71)/10)-1)</f>
        <v>8.8850425046464778</v>
      </c>
    </row>
    <row r="72" spans="1:52" ht="9.75" customHeight="1" x14ac:dyDescent="0.25">
      <c r="A72" s="1"/>
      <c r="D72" s="76"/>
      <c r="E72" s="76"/>
      <c r="F72" s="89"/>
      <c r="G72" s="76"/>
      <c r="H72" s="76"/>
      <c r="I72" s="76"/>
      <c r="J72" s="76"/>
      <c r="K72" s="76"/>
      <c r="L72" s="76"/>
      <c r="M72" s="89"/>
      <c r="N72" s="89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D72" s="23"/>
      <c r="AE72" s="23"/>
      <c r="AF72" s="23"/>
      <c r="AG72" s="23"/>
      <c r="AH72" s="23"/>
      <c r="AI72" s="23"/>
      <c r="AJ72" s="23"/>
      <c r="AK72" s="23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</row>
    <row r="73" spans="1:52" x14ac:dyDescent="0.2"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</row>
    <row r="74" spans="1:52" x14ac:dyDescent="0.2">
      <c r="V74" s="3"/>
      <c r="W74" s="3"/>
      <c r="X74" s="3"/>
      <c r="Y74" s="3"/>
      <c r="Z74" s="3"/>
    </row>
    <row r="75" spans="1:52" x14ac:dyDescent="0.2">
      <c r="O75" s="13"/>
      <c r="P75" s="13"/>
      <c r="Q75" s="13"/>
      <c r="R75" s="13"/>
      <c r="S75" s="13"/>
      <c r="T75" s="13"/>
      <c r="U75" s="13"/>
      <c r="V75" s="13"/>
    </row>
  </sheetData>
  <phoneticPr fontId="6" type="noConversion"/>
  <pageMargins left="0.11811023622047245" right="0.11811023622047245" top="0.78740157480314965" bottom="0.70866141732283472" header="0.51181102362204722" footer="0.51181102362204722"/>
  <pageSetup paperSize="9" scale="93" fitToHeight="0" orientation="landscape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2:BA109"/>
  <sheetViews>
    <sheetView zoomScaleNormal="100" workbookViewId="0">
      <pane xSplit="9" ySplit="8" topLeftCell="O36" activePane="bottomRight" state="frozen"/>
      <selection activeCell="AT7" sqref="AT7"/>
      <selection pane="topRight" activeCell="AT7" sqref="AT7"/>
      <selection pane="bottomLeft" activeCell="AT7" sqref="AT7"/>
      <selection pane="bottomRight" activeCell="A4" sqref="A4"/>
    </sheetView>
  </sheetViews>
  <sheetFormatPr defaultRowHeight="12.75" x14ac:dyDescent="0.2"/>
  <cols>
    <col min="1" max="1" width="64.28515625" customWidth="1"/>
    <col min="2" max="10" width="6.7109375" hidden="1" customWidth="1"/>
    <col min="11" max="11" width="7.7109375" hidden="1" customWidth="1"/>
    <col min="12" max="14" width="7.7109375" style="75" hidden="1" customWidth="1"/>
    <col min="15" max="19" width="7.7109375" customWidth="1"/>
    <col min="20" max="26" width="8.140625" customWidth="1"/>
    <col min="27" max="27" width="1.140625" customWidth="1"/>
    <col min="28" max="36" width="5.7109375" hidden="1" customWidth="1"/>
    <col min="37" max="37" width="5.140625" hidden="1" customWidth="1"/>
    <col min="38" max="39" width="4.28515625" hidden="1" customWidth="1"/>
    <col min="40" max="44" width="4.28515625" customWidth="1"/>
    <col min="45" max="51" width="5" customWidth="1"/>
    <col min="52" max="52" width="7" customWidth="1"/>
  </cols>
  <sheetData>
    <row r="2" spans="1:53" x14ac:dyDescent="0.2">
      <c r="A2" s="7" t="s">
        <v>57</v>
      </c>
      <c r="B2" s="7"/>
      <c r="C2" s="7"/>
    </row>
    <row r="3" spans="1:53" ht="18" x14ac:dyDescent="0.25">
      <c r="A3" s="5" t="s">
        <v>54</v>
      </c>
      <c r="B3" s="5"/>
      <c r="C3" s="5"/>
      <c r="U3" s="65"/>
      <c r="V3" s="65"/>
      <c r="W3" s="65"/>
      <c r="X3" s="65"/>
      <c r="Y3" s="65"/>
      <c r="Z3" s="65"/>
    </row>
    <row r="4" spans="1:53" ht="14.25" x14ac:dyDescent="0.2">
      <c r="A4" s="6" t="s">
        <v>56</v>
      </c>
      <c r="B4" s="6"/>
      <c r="C4" s="6"/>
      <c r="V4" s="1"/>
      <c r="W4" s="1"/>
      <c r="X4" s="1"/>
      <c r="Y4" s="1"/>
      <c r="Z4" s="1"/>
    </row>
    <row r="5" spans="1:53" ht="9.6" customHeight="1" x14ac:dyDescent="0.2"/>
    <row r="6" spans="1:53" x14ac:dyDescent="0.2">
      <c r="A6" s="8" t="s">
        <v>0</v>
      </c>
      <c r="B6" s="12">
        <v>1997</v>
      </c>
      <c r="C6" s="12">
        <v>1998</v>
      </c>
      <c r="D6" s="12">
        <v>1999</v>
      </c>
      <c r="E6" s="12">
        <v>2000</v>
      </c>
      <c r="F6" s="12">
        <v>2001</v>
      </c>
      <c r="G6" s="12">
        <v>2002</v>
      </c>
      <c r="H6" s="12">
        <v>2003</v>
      </c>
      <c r="I6" s="12">
        <v>2004</v>
      </c>
      <c r="J6" s="12">
        <v>2005</v>
      </c>
      <c r="K6" s="12">
        <v>2006</v>
      </c>
      <c r="L6" s="74">
        <v>2007</v>
      </c>
      <c r="M6" s="74">
        <v>2008</v>
      </c>
      <c r="N6" s="74">
        <v>2009</v>
      </c>
      <c r="O6" s="12">
        <v>2010</v>
      </c>
      <c r="P6" s="12">
        <v>2011</v>
      </c>
      <c r="Q6" s="12">
        <v>2012</v>
      </c>
      <c r="R6" s="12">
        <v>2013</v>
      </c>
      <c r="S6" s="12">
        <v>2014</v>
      </c>
      <c r="T6" s="12">
        <v>2015</v>
      </c>
      <c r="U6" s="12">
        <v>2016</v>
      </c>
      <c r="V6" s="12">
        <v>2017</v>
      </c>
      <c r="W6" s="12">
        <v>2018</v>
      </c>
      <c r="X6" s="12">
        <v>2019</v>
      </c>
      <c r="Y6" s="12">
        <v>2020</v>
      </c>
      <c r="Z6" s="12">
        <v>2021</v>
      </c>
      <c r="AA6" s="12">
        <v>2020</v>
      </c>
      <c r="AB6" s="19" t="s">
        <v>32</v>
      </c>
      <c r="AC6" s="45"/>
      <c r="AD6" s="40"/>
      <c r="AE6" s="40"/>
      <c r="AF6" s="40"/>
      <c r="AG6" s="40"/>
      <c r="AH6" s="40"/>
      <c r="AI6" s="40"/>
      <c r="AJ6" s="40"/>
      <c r="AL6" s="19" t="s">
        <v>32</v>
      </c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1"/>
    </row>
    <row r="7" spans="1:53" ht="13.5" x14ac:dyDescent="0.25">
      <c r="A7" s="1"/>
      <c r="B7" s="1"/>
      <c r="C7" s="1"/>
      <c r="AB7" s="22">
        <v>1998</v>
      </c>
      <c r="AC7" s="22">
        <v>1999</v>
      </c>
      <c r="AD7" s="22">
        <v>2000</v>
      </c>
      <c r="AE7" s="22">
        <v>2001</v>
      </c>
      <c r="AF7" s="22">
        <v>2002</v>
      </c>
      <c r="AG7" s="22">
        <v>2003</v>
      </c>
      <c r="AH7" s="22">
        <v>2004</v>
      </c>
      <c r="AI7" s="22">
        <v>2005</v>
      </c>
      <c r="AJ7" s="22">
        <v>2006</v>
      </c>
      <c r="AK7" s="22">
        <v>2007</v>
      </c>
      <c r="AL7" s="59">
        <v>2008</v>
      </c>
      <c r="AM7" s="59">
        <v>2009</v>
      </c>
      <c r="AN7" s="59">
        <v>2010</v>
      </c>
      <c r="AO7" s="59">
        <v>2011</v>
      </c>
      <c r="AP7" s="59">
        <v>2012</v>
      </c>
      <c r="AQ7" s="59">
        <v>2013</v>
      </c>
      <c r="AR7" s="59">
        <v>2014</v>
      </c>
      <c r="AS7" s="59">
        <v>2015</v>
      </c>
      <c r="AT7" s="59">
        <v>2016</v>
      </c>
      <c r="AU7" s="59">
        <v>2017</v>
      </c>
      <c r="AV7" s="59">
        <v>2018</v>
      </c>
      <c r="AW7" s="59">
        <v>2019</v>
      </c>
      <c r="AX7" s="59">
        <v>2020</v>
      </c>
      <c r="AY7" s="59"/>
      <c r="AZ7" s="46" t="s">
        <v>49</v>
      </c>
    </row>
    <row r="8" spans="1:53" ht="13.5" x14ac:dyDescent="0.25">
      <c r="A8" s="1"/>
      <c r="B8" s="1"/>
      <c r="C8" s="1"/>
      <c r="AD8" s="23"/>
      <c r="AE8" s="23"/>
      <c r="AF8" s="23"/>
      <c r="AG8" s="23"/>
      <c r="AH8" s="23"/>
      <c r="AI8" s="23"/>
      <c r="AJ8" s="23"/>
      <c r="AK8" s="23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6" t="s">
        <v>33</v>
      </c>
    </row>
    <row r="9" spans="1:53" x14ac:dyDescent="0.2">
      <c r="A9" s="1"/>
      <c r="B9" s="1"/>
      <c r="C9" s="1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1:53" ht="15" customHeight="1" x14ac:dyDescent="0.25">
      <c r="A10" s="1" t="s">
        <v>1</v>
      </c>
      <c r="B10" s="35">
        <v>5803</v>
      </c>
      <c r="C10" s="35">
        <v>5967</v>
      </c>
      <c r="D10" s="3">
        <f>Kunnat!D10+Kuntayhtymät!D10-3413.122</f>
        <v>6155.5228389583754</v>
      </c>
      <c r="E10" s="3">
        <f>Kunnat!E10+Kuntayhtymät!E10-3663.629</f>
        <v>6389.1343712731677</v>
      </c>
      <c r="F10" s="3">
        <f>Kunnat!F10+Kuntayhtymät!F10-3892.773</f>
        <v>6643.8689999999997</v>
      </c>
      <c r="G10" s="3">
        <f>Kunnat!G10+Kuntayhtymät!G10-4252.581</f>
        <v>6989.9959999999992</v>
      </c>
      <c r="H10" s="3">
        <f>Kunnat!H10+Kuntayhtymät!H10-4490.475</f>
        <v>7450.5909999999985</v>
      </c>
      <c r="I10" s="3">
        <f>Kunnat!I10+Kuntayhtymät!I10-4771.926</f>
        <v>7886.2460000000001</v>
      </c>
      <c r="J10" s="3">
        <v>8294.7080000000005</v>
      </c>
      <c r="K10" s="3">
        <v>8808.4500000000007</v>
      </c>
      <c r="L10" s="76">
        <v>9124.0779999999977</v>
      </c>
      <c r="M10" s="76">
        <v>9748.3349999999991</v>
      </c>
      <c r="N10" s="76">
        <v>10069.828</v>
      </c>
      <c r="O10" s="3">
        <v>10900.157000000003</v>
      </c>
      <c r="P10" s="3">
        <v>11395.599</v>
      </c>
      <c r="Q10" s="3">
        <v>11638.605</v>
      </c>
      <c r="R10" s="3">
        <v>11900.569999999996</v>
      </c>
      <c r="S10" s="3">
        <f>Kunnat!S10+Kuntayhtymät!S10-8172.87</f>
        <v>11720.029000000002</v>
      </c>
      <c r="T10" s="3">
        <f>Kunnat!T10+Kuntayhtymät!T10-9426.168</f>
        <v>9130.2369999999992</v>
      </c>
      <c r="U10" s="3">
        <f>Kunnat!U10+Kuntayhtymät!U10-9563.39</f>
        <v>9288.6370000000024</v>
      </c>
      <c r="V10" s="3">
        <f>Kunnat!V10+Kuntayhtymät!V10-10629</f>
        <v>9118.9309999999969</v>
      </c>
      <c r="W10" s="3">
        <f>Kunnat!W10+Kuntayhtymät!W10-11145</f>
        <v>9576.7999999999993</v>
      </c>
      <c r="X10" s="3">
        <v>9344.2740000000031</v>
      </c>
      <c r="Y10" s="3">
        <v>9149.4619999999995</v>
      </c>
      <c r="Z10" s="3">
        <v>10716.016</v>
      </c>
      <c r="AA10" s="3"/>
      <c r="AB10" s="18">
        <f>100*(C10-B10)/B10</f>
        <v>2.8261244184042735</v>
      </c>
      <c r="AC10" s="18">
        <f>100*(D10-C10)/C10</f>
        <v>3.1594241487912749</v>
      </c>
      <c r="AD10" s="18">
        <f>100*(E10-D10)/D10</f>
        <v>3.7951533675784987</v>
      </c>
      <c r="AE10" s="18">
        <f>100*(F10-E10)/E10</f>
        <v>3.9869975167867815</v>
      </c>
      <c r="AF10" s="18">
        <f>100*(G10-F10)/F10</f>
        <v>5.2097204204357359</v>
      </c>
      <c r="AG10" s="18">
        <f>100*(H10-G10)/G10</f>
        <v>6.5893456877514582</v>
      </c>
      <c r="AH10" s="18">
        <f>100*(I10-H10)/H10</f>
        <v>5.8472542647959296</v>
      </c>
      <c r="AI10" s="18">
        <f>100*(J10-I10)/I10</f>
        <v>5.1794225034319297</v>
      </c>
      <c r="AJ10" s="18">
        <f>100*(K10-J10)/J10</f>
        <v>6.1936116376851382</v>
      </c>
      <c r="AK10" s="18">
        <f>100*(L10-K10)/K10</f>
        <v>3.5832410923601423</v>
      </c>
      <c r="AL10" s="49">
        <f>100*(M10-L10)/L10</f>
        <v>6.8418639121673621</v>
      </c>
      <c r="AM10" s="49">
        <f>100*(N10-M10)/M10</f>
        <v>3.2979272870700527</v>
      </c>
      <c r="AN10" s="49">
        <f>100*(O10-N10)/N10</f>
        <v>8.2457118433403576</v>
      </c>
      <c r="AO10" s="49">
        <f>100*(P10-O10)/O10</f>
        <v>4.5452739809160283</v>
      </c>
      <c r="AP10" s="49">
        <f>100*(Q10-P10)/P10</f>
        <v>2.1324548187418615</v>
      </c>
      <c r="AQ10" s="49">
        <f>100*(R10-Q10)/Q10</f>
        <v>2.2508281705582114</v>
      </c>
      <c r="AR10" s="49">
        <f>100*(S10-R10)/R10</f>
        <v>-1.5170785937143672</v>
      </c>
      <c r="AS10" s="49">
        <f>100*(T10-S10)/S10</f>
        <v>-22.097146687947635</v>
      </c>
      <c r="AT10" s="49">
        <f>100*(U10-T10)/T10</f>
        <v>1.7348947239814616</v>
      </c>
      <c r="AU10" s="49">
        <f>100*(V10-U10)/U10</f>
        <v>-1.8270280128290679</v>
      </c>
      <c r="AV10" s="49">
        <f t="shared" ref="AV10" si="0">100*(W10-V10)/V10</f>
        <v>5.0210819667349451</v>
      </c>
      <c r="AW10" s="49">
        <f>100*(X10-W10)/W10</f>
        <v>-2.4280135327039951</v>
      </c>
      <c r="AX10" s="49">
        <f>100*(Y10-X10)/X10</f>
        <v>-2.0848275639177904</v>
      </c>
      <c r="AY10" s="49">
        <f>100*(Z10-Y10)/Y10</f>
        <v>17.121815468494216</v>
      </c>
      <c r="AZ10" s="50">
        <f>100*(EXP(LN(Z10/O10)/11)-1)</f>
        <v>-0.15476872789911278</v>
      </c>
      <c r="BA10" s="66"/>
    </row>
    <row r="11" spans="1:53" ht="15" customHeight="1" x14ac:dyDescent="0.25">
      <c r="A11" s="1" t="s">
        <v>2</v>
      </c>
      <c r="B11" s="35">
        <v>119</v>
      </c>
      <c r="C11" s="35">
        <v>130</v>
      </c>
      <c r="D11" s="3">
        <f>Kunnat!D11+Kuntayhtymät!D11</f>
        <v>167.66418925850988</v>
      </c>
      <c r="E11" s="3">
        <f>Kunnat!E11+Kuntayhtymät!E11</f>
        <v>333.44618743198896</v>
      </c>
      <c r="F11" s="3">
        <f>Kunnat!F11+Kuntayhtymät!F11</f>
        <v>379.64499999999998</v>
      </c>
      <c r="G11" s="3">
        <f>Kunnat!G11+Kuntayhtymät!G11</f>
        <v>403.858</v>
      </c>
      <c r="H11" s="3">
        <f>Kunnat!H11+Kuntayhtymät!H11</f>
        <v>422.63400000000001</v>
      </c>
      <c r="I11" s="3">
        <f>Kunnat!I11+Kuntayhtymät!I11</f>
        <v>415.07400000000001</v>
      </c>
      <c r="J11" s="3">
        <v>368.642</v>
      </c>
      <c r="K11" s="3">
        <v>402.91200000000003</v>
      </c>
      <c r="L11" s="76">
        <v>421.59</v>
      </c>
      <c r="M11" s="76">
        <v>496.62</v>
      </c>
      <c r="N11" s="76">
        <v>494.17500000000001</v>
      </c>
      <c r="O11" s="3">
        <v>496.495</v>
      </c>
      <c r="P11" s="3">
        <v>640.375</v>
      </c>
      <c r="Q11" s="3">
        <v>604.36900000000003</v>
      </c>
      <c r="R11" s="3">
        <v>595.12</v>
      </c>
      <c r="S11" s="3">
        <f>Kunnat!S11+Kuntayhtymät!S11</f>
        <v>512.28499999999997</v>
      </c>
      <c r="T11" s="3">
        <f>Kunnat!T11+Kuntayhtymät!T11</f>
        <v>515.846</v>
      </c>
      <c r="U11" s="3">
        <f>Kunnat!U11+Kuntayhtymät!U11</f>
        <v>453.05</v>
      </c>
      <c r="V11" s="3">
        <f>Kunnat!V11+Kuntayhtymät!V11</f>
        <v>416.05199999999996</v>
      </c>
      <c r="W11" s="3">
        <f>Kunnat!W11+Kuntayhtymät!W11</f>
        <v>321</v>
      </c>
      <c r="X11" s="3">
        <v>339.56</v>
      </c>
      <c r="Y11" s="3">
        <v>333.64</v>
      </c>
      <c r="Z11" s="3">
        <v>251.77699999999999</v>
      </c>
      <c r="AA11" s="3"/>
      <c r="AB11" s="3"/>
      <c r="AC11" s="3"/>
      <c r="AD11" s="23"/>
      <c r="AE11" s="23"/>
      <c r="AF11" s="23"/>
      <c r="AG11" s="23"/>
      <c r="AH11" s="23"/>
      <c r="AI11" s="23"/>
      <c r="AJ11" s="23"/>
      <c r="AK11" s="23"/>
      <c r="AL11" s="47"/>
      <c r="AM11" s="47"/>
      <c r="AN11" s="47"/>
      <c r="AO11" s="47"/>
      <c r="AP11" s="47"/>
      <c r="AQ11" s="49"/>
      <c r="AR11" s="49"/>
      <c r="AS11" s="49"/>
      <c r="AT11" s="49"/>
      <c r="AU11" s="49"/>
      <c r="AV11" s="49"/>
      <c r="AW11" s="49"/>
      <c r="AX11" s="49"/>
      <c r="AY11" s="49"/>
      <c r="AZ11" s="50"/>
    </row>
    <row r="12" spans="1:53" ht="15" customHeight="1" x14ac:dyDescent="0.25">
      <c r="A12" s="1" t="s">
        <v>3</v>
      </c>
      <c r="B12" s="35">
        <v>-18255</v>
      </c>
      <c r="C12" s="35">
        <v>-18795</v>
      </c>
      <c r="D12" s="3">
        <f>Kunnat!D12+Kuntayhtymät!D12+3413.122</f>
        <v>-19363.720823057894</v>
      </c>
      <c r="E12" s="3">
        <f>Kunnat!E12+Kuntayhtymät!E12+3663.629</f>
        <v>-20530.645842530692</v>
      </c>
      <c r="F12" s="3">
        <f>Kunnat!F12+Kuntayhtymät!F12+3892.773</f>
        <v>-22022.605</v>
      </c>
      <c r="G12" s="3">
        <f>Kunnat!G12+Kuntayhtymät!G12+4252.581</f>
        <v>-23150.012000000002</v>
      </c>
      <c r="H12" s="3">
        <f>Kunnat!H12+Kuntayhtymät!H12+4490.475</f>
        <v>-24202.031000000003</v>
      </c>
      <c r="I12" s="3">
        <f>Kunnat!I12+Kuntayhtymät!I12+4771.926</f>
        <v>-25423.575999999997</v>
      </c>
      <c r="J12" s="3">
        <v>-26671.438000000002</v>
      </c>
      <c r="K12" s="3">
        <v>-27921.42</v>
      </c>
      <c r="L12" s="76">
        <v>-29325.528999999999</v>
      </c>
      <c r="M12" s="76">
        <v>-31672.265000000003</v>
      </c>
      <c r="N12" s="76">
        <v>-32974.913</v>
      </c>
      <c r="O12" s="3">
        <v>-34342.777999999991</v>
      </c>
      <c r="P12" s="3">
        <v>-36297.899999999994</v>
      </c>
      <c r="Q12" s="3">
        <v>-38043.281000000003</v>
      </c>
      <c r="R12" s="3">
        <v>-38943.449999999997</v>
      </c>
      <c r="S12" s="3">
        <f>Kunnat!S12+Kuntayhtymät!S12+8172.87</f>
        <v>-38786.652999999998</v>
      </c>
      <c r="T12" s="3">
        <f>Kunnat!T12+Kuntayhtymät!T12+9426.168</f>
        <v>-37078.893000000004</v>
      </c>
      <c r="U12" s="3">
        <f>Kunnat!U12+Kuntayhtymät!U12+9563.39</f>
        <v>-37392.053</v>
      </c>
      <c r="V12" s="3">
        <f>Kunnat!V12+Kuntayhtymät!V12+10629</f>
        <v>-36905.355999999992</v>
      </c>
      <c r="W12" s="3">
        <f>Kunnat!W12+Kuntayhtymät!W12+11281</f>
        <v>-37118.409</v>
      </c>
      <c r="X12" s="3">
        <v>-39377.745000000003</v>
      </c>
      <c r="Y12" s="3">
        <v>-39989.35</v>
      </c>
      <c r="Z12" s="3">
        <v>-42190.763999999996</v>
      </c>
      <c r="AA12" s="3"/>
      <c r="AB12" s="18">
        <f>100*(C12-B12)/B12</f>
        <v>2.9580936729663105</v>
      </c>
      <c r="AC12" s="18">
        <f>100*(D12-C12)/C12</f>
        <v>3.025915525713724</v>
      </c>
      <c r="AD12" s="18">
        <f>100*(E12-D12)/D12</f>
        <v>6.0263470545560063</v>
      </c>
      <c r="AE12" s="18">
        <f>100*(F12-E12)/E12</f>
        <v>7.2669859921240674</v>
      </c>
      <c r="AF12" s="18">
        <f>100*(G12-F12)/F12</f>
        <v>5.1193171743306616</v>
      </c>
      <c r="AG12" s="18">
        <f>100*(H12-G12)/G12</f>
        <v>4.5443561757117017</v>
      </c>
      <c r="AH12" s="18">
        <f>100*(I12-H12)/H12</f>
        <v>5.0472830152146919</v>
      </c>
      <c r="AI12" s="18">
        <f>100*(J12-I12)/I12</f>
        <v>4.9082867020752889</v>
      </c>
      <c r="AJ12" s="18">
        <f>100*(K12-J12)/J12</f>
        <v>4.6865939511772714</v>
      </c>
      <c r="AK12" s="18">
        <f>100*(L12-K12)/K12</f>
        <v>5.0287879341380215</v>
      </c>
      <c r="AL12" s="49">
        <f>100*(M12-L12)/L12</f>
        <v>8.0023654475252766</v>
      </c>
      <c r="AM12" s="49">
        <f>100*(N12-M12)/M12</f>
        <v>4.1128981460593277</v>
      </c>
      <c r="AN12" s="49">
        <f>100*(O12-N12)/N12</f>
        <v>4.1481989656803364</v>
      </c>
      <c r="AO12" s="49">
        <f>100*(P12-O12)/O12</f>
        <v>5.692964034534433</v>
      </c>
      <c r="AP12" s="49">
        <f>100*(Q12-P12)/P12</f>
        <v>4.8084902983368423</v>
      </c>
      <c r="AQ12" s="49">
        <f>100*(R12-Q12)/Q12</f>
        <v>2.3661707832192347</v>
      </c>
      <c r="AR12" s="49">
        <f>100*(S12-R12)/R12</f>
        <v>-0.40262739947282195</v>
      </c>
      <c r="AS12" s="49">
        <f>100*(T12-S12)/S12</f>
        <v>-4.4029578937888632</v>
      </c>
      <c r="AT12" s="49">
        <f>100*(U12-T12)/T12</f>
        <v>0.84457753363887156</v>
      </c>
      <c r="AU12" s="49">
        <f>100*(V12-U12)/U12</f>
        <v>-1.3016054507625121</v>
      </c>
      <c r="AV12" s="49">
        <f t="shared" ref="AV12:AV13" si="1">100*(W12-V12)/V12</f>
        <v>0.5772956098838532</v>
      </c>
      <c r="AW12" s="49">
        <f>100*(X12-W12)/W12</f>
        <v>6.0868341636086907</v>
      </c>
      <c r="AX12" s="49">
        <f>100*(Y12-X12)/X12</f>
        <v>1.5531742612483166</v>
      </c>
      <c r="AY12" s="49">
        <f>100*(Z12-Y12)/Y12</f>
        <v>5.5050007064380821</v>
      </c>
      <c r="AZ12" s="50">
        <f>100*(EXP(LN(Z12/O12)/11)-1)</f>
        <v>1.8886090390701327</v>
      </c>
    </row>
    <row r="13" spans="1:53" s="29" customFormat="1" ht="18.75" customHeight="1" x14ac:dyDescent="0.25">
      <c r="A13" s="29" t="s">
        <v>36</v>
      </c>
      <c r="B13" s="30">
        <v>-18136</v>
      </c>
      <c r="C13" s="30">
        <v>-18665</v>
      </c>
      <c r="D13" s="30">
        <f t="shared" ref="D13:I13" si="2">D12+D11</f>
        <v>-19196.056633799384</v>
      </c>
      <c r="E13" s="30">
        <f t="shared" si="2"/>
        <v>-20197.199655098702</v>
      </c>
      <c r="F13" s="30">
        <f t="shared" si="2"/>
        <v>-21642.959999999999</v>
      </c>
      <c r="G13" s="30">
        <f t="shared" si="2"/>
        <v>-22746.154000000002</v>
      </c>
      <c r="H13" s="30">
        <f t="shared" si="2"/>
        <v>-23779.397000000004</v>
      </c>
      <c r="I13" s="30">
        <f t="shared" si="2"/>
        <v>-25008.501999999997</v>
      </c>
      <c r="J13" s="30">
        <v>-26302.796000000002</v>
      </c>
      <c r="K13" s="30">
        <v>-27518.507999999998</v>
      </c>
      <c r="L13" s="77">
        <v>-28903.938999999998</v>
      </c>
      <c r="M13" s="77">
        <v>-31175.645000000004</v>
      </c>
      <c r="N13" s="77">
        <v>-32480.738000000001</v>
      </c>
      <c r="O13" s="30">
        <v>-33846.282999999989</v>
      </c>
      <c r="P13" s="30">
        <v>-35657.524999999994</v>
      </c>
      <c r="Q13" s="30">
        <v>-37438.912000000004</v>
      </c>
      <c r="R13" s="30">
        <v>-38348.329999999994</v>
      </c>
      <c r="S13" s="32">
        <f>S11+S12</f>
        <v>-38274.367999999995</v>
      </c>
      <c r="T13" s="32">
        <f>T11+T12</f>
        <v>-36563.047000000006</v>
      </c>
      <c r="U13" s="32">
        <f>U11+U12</f>
        <v>-36939.002999999997</v>
      </c>
      <c r="V13" s="32">
        <f>V11+V12</f>
        <v>-36489.303999999989</v>
      </c>
      <c r="W13" s="32">
        <f t="shared" ref="W13:Z13" si="3">W11+W12</f>
        <v>-36797.409</v>
      </c>
      <c r="X13" s="32">
        <f t="shared" si="3"/>
        <v>-39038.185000000005</v>
      </c>
      <c r="Y13" s="32">
        <f t="shared" si="3"/>
        <v>-39655.71</v>
      </c>
      <c r="Z13" s="32">
        <f t="shared" si="3"/>
        <v>-41938.986999999994</v>
      </c>
      <c r="AB13" s="18">
        <f>100*(C13-B13)/B13</f>
        <v>2.9168504631671812</v>
      </c>
      <c r="AC13" s="18">
        <f>100*(D13-C13)/C13</f>
        <v>2.8452002882367218</v>
      </c>
      <c r="AD13" s="18">
        <f>100*(E13-D13)/D13</f>
        <v>5.2153577185043281</v>
      </c>
      <c r="AE13" s="18">
        <f>100*(F13-E13)/E13</f>
        <v>7.1582217811879696</v>
      </c>
      <c r="AF13" s="18">
        <f>100*(G13-F13)/F13</f>
        <v>5.0972417820852751</v>
      </c>
      <c r="AG13" s="18">
        <f>100*(H13-G13)/G13</f>
        <v>4.54249540383839</v>
      </c>
      <c r="AH13" s="18">
        <f>100*(I13-H13)/H13</f>
        <v>5.168781193232074</v>
      </c>
      <c r="AI13" s="18">
        <f>100*(J13-I13)/I13</f>
        <v>5.1754159445456009</v>
      </c>
      <c r="AJ13" s="18">
        <f>100*(K13-J13)/J13</f>
        <v>4.6219877156785758</v>
      </c>
      <c r="AK13" s="18">
        <f>100*(L13-K13)/K13</f>
        <v>5.0345425704038913</v>
      </c>
      <c r="AL13" s="49">
        <f>100*(M13-L13)/L13</f>
        <v>7.8595031632193999</v>
      </c>
      <c r="AM13" s="49">
        <f>100*(N13-M13)/M13</f>
        <v>4.1862582153472587</v>
      </c>
      <c r="AN13" s="49">
        <f>100*(O13-N13)/N13</f>
        <v>4.2041686368086442</v>
      </c>
      <c r="AO13" s="49">
        <f>100*(P13-O13)/O13</f>
        <v>5.3513763978159909</v>
      </c>
      <c r="AP13" s="49">
        <f>100*(Q13-P13)/P13</f>
        <v>4.9958234622285476</v>
      </c>
      <c r="AQ13" s="49">
        <f>100*(R13-Q13)/Q13</f>
        <v>2.4290716567831629</v>
      </c>
      <c r="AR13" s="49">
        <f>100*(S13-R13)/R13</f>
        <v>-0.19286889416044856</v>
      </c>
      <c r="AS13" s="49">
        <f>100*(T13-S13)/S13</f>
        <v>-4.4711933584376604</v>
      </c>
      <c r="AT13" s="49">
        <f>100*(U13-T13)/T13</f>
        <v>1.0282403433170955</v>
      </c>
      <c r="AU13" s="49">
        <f>100*(V13-U13)/U13</f>
        <v>-1.21740968482557</v>
      </c>
      <c r="AV13" s="49">
        <f t="shared" si="1"/>
        <v>0.84437072299326554</v>
      </c>
      <c r="AW13" s="49">
        <f>100*(X13-W13)/W13</f>
        <v>6.0894939640994981</v>
      </c>
      <c r="AX13" s="49">
        <f>100*(Y13-X13)/X13</f>
        <v>1.5818486438342205</v>
      </c>
      <c r="AY13" s="49">
        <f>100*(Z13-Y13)/Y13</f>
        <v>5.7577509014464621</v>
      </c>
      <c r="AZ13" s="50">
        <f>100*(EXP(LN(Z13/O13)/11)-1)</f>
        <v>1.9680862821552125</v>
      </c>
    </row>
    <row r="14" spans="1:53" ht="13.5" x14ac:dyDescent="0.25">
      <c r="A14" s="1"/>
      <c r="B14" s="35"/>
      <c r="C14" s="35"/>
      <c r="AD14" s="23"/>
      <c r="AE14" s="23"/>
      <c r="AF14" s="23"/>
      <c r="AG14" s="23"/>
      <c r="AH14" s="23"/>
      <c r="AI14" s="23"/>
      <c r="AJ14" s="23"/>
      <c r="AK14" s="23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50"/>
    </row>
    <row r="15" spans="1:53" ht="13.5" x14ac:dyDescent="0.25">
      <c r="A15" s="8" t="s">
        <v>4</v>
      </c>
      <c r="B15" s="10">
        <v>-12333</v>
      </c>
      <c r="C15" s="10">
        <f>C10+C11+C12</f>
        <v>-12698</v>
      </c>
      <c r="D15" s="10">
        <f t="shared" ref="D15:I15" si="4">D10+D11+D12</f>
        <v>-13040.533794841009</v>
      </c>
      <c r="E15" s="10">
        <f t="shared" si="4"/>
        <v>-13808.065283825536</v>
      </c>
      <c r="F15" s="10">
        <f t="shared" si="4"/>
        <v>-14999.091</v>
      </c>
      <c r="G15" s="10">
        <f t="shared" si="4"/>
        <v>-15756.158000000003</v>
      </c>
      <c r="H15" s="10">
        <f t="shared" si="4"/>
        <v>-16328.806000000004</v>
      </c>
      <c r="I15" s="10">
        <f t="shared" si="4"/>
        <v>-17122.255999999998</v>
      </c>
      <c r="J15" s="10">
        <v>-18008.088000000003</v>
      </c>
      <c r="K15" s="10">
        <v>-18710.057999999997</v>
      </c>
      <c r="L15" s="78">
        <v>-19779.861000000001</v>
      </c>
      <c r="M15" s="78">
        <v>-21427.310000000005</v>
      </c>
      <c r="N15" s="78">
        <v>-22410.910000000003</v>
      </c>
      <c r="O15" s="10">
        <v>-22946.125999999989</v>
      </c>
      <c r="P15" s="10">
        <v>-24261.925999999992</v>
      </c>
      <c r="Q15" s="10">
        <v>-25800.307000000001</v>
      </c>
      <c r="R15" s="10">
        <f>R10+R13</f>
        <v>-26447.759999999998</v>
      </c>
      <c r="S15" s="10">
        <f>S10+S13</f>
        <v>-26554.338999999993</v>
      </c>
      <c r="T15" s="10">
        <f>T10+T13</f>
        <v>-27432.810000000005</v>
      </c>
      <c r="U15" s="10">
        <f>U10+U13</f>
        <v>-27650.365999999995</v>
      </c>
      <c r="V15" s="10">
        <f t="shared" ref="V15:AA15" si="5">V10+V13</f>
        <v>-27370.372999999992</v>
      </c>
      <c r="W15" s="10">
        <f t="shared" si="5"/>
        <v>-27220.609</v>
      </c>
      <c r="X15" s="10">
        <f t="shared" si="5"/>
        <v>-29693.911</v>
      </c>
      <c r="Y15" s="10">
        <f t="shared" si="5"/>
        <v>-30506.248</v>
      </c>
      <c r="Z15" s="10">
        <f t="shared" si="5"/>
        <v>-31222.970999999994</v>
      </c>
      <c r="AA15" s="10">
        <f t="shared" si="5"/>
        <v>0</v>
      </c>
      <c r="AB15" s="18">
        <f>100*(C15-B15)/B15</f>
        <v>2.9595394470120815</v>
      </c>
      <c r="AC15" s="18">
        <f>100*(D15-C15)/C15</f>
        <v>2.6975413044653394</v>
      </c>
      <c r="AD15" s="18">
        <f>100*(E15-D15)/D15</f>
        <v>5.8857367425263778</v>
      </c>
      <c r="AE15" s="18">
        <f>100*(F15-E15)/E15</f>
        <v>8.6255799903380108</v>
      </c>
      <c r="AF15" s="18">
        <f>100*(G15-F15)/F15</f>
        <v>5.0474192069372918</v>
      </c>
      <c r="AG15" s="18">
        <f>100*(H15-G15)/G15</f>
        <v>3.6344393093798688</v>
      </c>
      <c r="AH15" s="18">
        <f>100*(I15-H15)/H15</f>
        <v>4.8592040348816274</v>
      </c>
      <c r="AI15" s="18">
        <f>100*(J15-I15)/I15</f>
        <v>5.1735705855583864</v>
      </c>
      <c r="AJ15" s="18">
        <f>100*(K15-J15)/J15</f>
        <v>3.8980817952466347</v>
      </c>
      <c r="AK15" s="18">
        <f>100*(L15-K15)/K15</f>
        <v>5.7177962783439993</v>
      </c>
      <c r="AL15" s="61">
        <f>100*(M15-L15)/L15</f>
        <v>8.3289210171901829</v>
      </c>
      <c r="AM15" s="61">
        <f>100*(N15-M15)/M15</f>
        <v>4.5904035550892681</v>
      </c>
      <c r="AN15" s="61">
        <f>100*(O15-N15)/N15</f>
        <v>2.3881939644574257</v>
      </c>
      <c r="AO15" s="61">
        <f>100*(P15-O15)/O15</f>
        <v>5.7343012933860971</v>
      </c>
      <c r="AP15" s="61">
        <f>100*(Q15-P15)/P15</f>
        <v>6.3407208479656934</v>
      </c>
      <c r="AQ15" s="61">
        <f>100*(R15-Q15)/Q15</f>
        <v>2.5094778910964033</v>
      </c>
      <c r="AR15" s="61">
        <f>100*(S15-R15)/R15</f>
        <v>0.40297930713222696</v>
      </c>
      <c r="AS15" s="61">
        <f>100*(T15-S15)/S15</f>
        <v>3.3082013451738059</v>
      </c>
      <c r="AT15" s="61">
        <f>100*(U15-T15)/T15</f>
        <v>0.79305036560231901</v>
      </c>
      <c r="AU15" s="61">
        <f>100*(V15-U15)/U15</f>
        <v>-1.0126195074596924</v>
      </c>
      <c r="AV15" s="61">
        <f t="shared" ref="AV15" si="6">100*(W15-V15)/V15</f>
        <v>-0.54717559019013728</v>
      </c>
      <c r="AW15" s="61">
        <f>100*(X15-W15)/W15</f>
        <v>9.0861376393158562</v>
      </c>
      <c r="AX15" s="61">
        <f>100*(Y15-X15)/X15</f>
        <v>2.7357022791642351</v>
      </c>
      <c r="AY15" s="61">
        <f>100*(Z15-Y15)/Y15</f>
        <v>2.3494301888583431</v>
      </c>
      <c r="AZ15" s="50">
        <f>100*(EXP(LN(Z15/O15)/11)-1)</f>
        <v>2.8396147517580905</v>
      </c>
    </row>
    <row r="16" spans="1:53" ht="13.5" x14ac:dyDescent="0.25">
      <c r="A16" s="1"/>
      <c r="B16" s="35"/>
      <c r="C16" s="35"/>
      <c r="AD16" s="23"/>
      <c r="AE16" s="23"/>
      <c r="AF16" s="23"/>
      <c r="AG16" s="23"/>
      <c r="AH16" s="23"/>
      <c r="AI16" s="23"/>
      <c r="AJ16" s="23"/>
      <c r="AK16" s="23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50"/>
    </row>
    <row r="17" spans="1:52" ht="15" customHeight="1" x14ac:dyDescent="0.25">
      <c r="A17" s="1" t="s">
        <v>5</v>
      </c>
      <c r="B17" s="35">
        <v>10995</v>
      </c>
      <c r="C17" s="35">
        <v>11796</v>
      </c>
      <c r="D17" s="3">
        <f>Kunnat!D17+Kuntayhtymät!D17</f>
        <v>12107.238135603198</v>
      </c>
      <c r="E17" s="3">
        <f>Kunnat!E17+Kuntayhtymät!E17</f>
        <v>12918.407495799505</v>
      </c>
      <c r="F17" s="3">
        <f>Kunnat!F17+Kuntayhtymät!F17</f>
        <v>14103.073</v>
      </c>
      <c r="G17" s="3">
        <f>Kunnat!G17+Kuntayhtymät!G17</f>
        <v>14076.744000000001</v>
      </c>
      <c r="H17" s="3">
        <f>Kunnat!H17+Kuntayhtymät!H17</f>
        <v>13504.23</v>
      </c>
      <c r="I17" s="3">
        <f>Kunnat!I17+Kuntayhtymät!I17</f>
        <v>13680.898999999999</v>
      </c>
      <c r="J17" s="3">
        <v>14255.29</v>
      </c>
      <c r="K17" s="3">
        <v>15166.924000000001</v>
      </c>
      <c r="L17" s="76">
        <v>16296.266</v>
      </c>
      <c r="M17" s="76">
        <v>17530.599999999999</v>
      </c>
      <c r="N17" s="76">
        <v>17610.871999999999</v>
      </c>
      <c r="O17" s="3">
        <v>18352.394</v>
      </c>
      <c r="P17" s="3">
        <v>19066.726999999999</v>
      </c>
      <c r="Q17" s="3">
        <v>19319.099999999999</v>
      </c>
      <c r="R17" s="3">
        <v>20642.86</v>
      </c>
      <c r="S17" s="3">
        <f>Kunnat!S17+Kuntayhtymät!S17</f>
        <v>21068.276999999998</v>
      </c>
      <c r="T17" s="3">
        <f>Kunnat!T17+Kuntayhtymät!T17</f>
        <v>21662.870999999999</v>
      </c>
      <c r="U17" s="3">
        <f>Kunnat!U17+Kuntayhtymät!U17</f>
        <v>21987.628999999997</v>
      </c>
      <c r="V17" s="3">
        <f>Kunnat!V17+Kuntayhtymät!V17</f>
        <v>22434.784999999993</v>
      </c>
      <c r="W17" s="3">
        <f>Kunnat!W17+Kuntayhtymät!W17</f>
        <v>22321.057000000001</v>
      </c>
      <c r="X17" s="3">
        <v>22912.314999999999</v>
      </c>
      <c r="Y17" s="3">
        <v>23825.588</v>
      </c>
      <c r="Z17" s="3">
        <v>25404.727999999999</v>
      </c>
      <c r="AA17" s="3">
        <f>Kunnat!AA17+Kuntayhtymät!AA17</f>
        <v>0</v>
      </c>
      <c r="AB17" s="3">
        <f>Kunnat!AB17+Kuntayhtymät!AB17</f>
        <v>7.2873007617707444</v>
      </c>
      <c r="AC17" s="3">
        <f>Kunnat!AC17+Kuntayhtymät!AC17</f>
        <v>2.6353317745017026</v>
      </c>
      <c r="AD17" s="3">
        <f>Kunnat!AD17+Kuntayhtymät!AD17</f>
        <v>6.6998711936699955</v>
      </c>
      <c r="AE17" s="3">
        <f>Kunnat!AE17+Kuntayhtymät!AE17</f>
        <v>9.1703679775211899</v>
      </c>
      <c r="AF17" s="3">
        <f>Kunnat!AF17+Kuntayhtymät!AF17</f>
        <v>-0.18668980866793872</v>
      </c>
      <c r="AG17" s="3">
        <f>Kunnat!AG17+Kuntayhtymät!AG17</f>
        <v>-4.067091082994768</v>
      </c>
      <c r="AH17" s="3">
        <f>Kunnat!AH17+Kuntayhtymät!AH17</f>
        <v>1.3082493411323701</v>
      </c>
      <c r="AI17" s="3">
        <f>Kunnat!AI17+Kuntayhtymät!AI17</f>
        <v>4.1984887104275934</v>
      </c>
      <c r="AJ17" s="3">
        <f>Kunnat!AJ17+Kuntayhtymät!AJ17</f>
        <v>6.395057554072908</v>
      </c>
      <c r="AK17" s="3">
        <f>Kunnat!AK17+Kuntayhtymät!AK17</f>
        <v>7.4460846510472303</v>
      </c>
      <c r="AL17" s="49">
        <f>100*(M17-L17)/L17</f>
        <v>7.5743363541071247</v>
      </c>
      <c r="AM17" s="49">
        <f>100*(N17-M17)/M17</f>
        <v>0.45789647815819684</v>
      </c>
      <c r="AN17" s="49">
        <f>100*(O17-N17)/N17</f>
        <v>4.2105921841916789</v>
      </c>
      <c r="AO17" s="49">
        <f>100*(P17-O17)/O17</f>
        <v>3.8923150843426679</v>
      </c>
      <c r="AP17" s="49">
        <f>100*(Q17-P17)/P17</f>
        <v>1.3236304269736467</v>
      </c>
      <c r="AQ17" s="49">
        <f>100*(R17-Q17)/Q17</f>
        <v>6.8520790305966743</v>
      </c>
      <c r="AR17" s="49">
        <f>100*(S17-R17)/R17</f>
        <v>2.0608433133780766</v>
      </c>
      <c r="AS17" s="49">
        <f>100*(T17-S17)/S17</f>
        <v>2.8222241429614821</v>
      </c>
      <c r="AT17" s="49">
        <f>100*(U17-T17)/T17</f>
        <v>1.4991457041866612</v>
      </c>
      <c r="AU17" s="49">
        <f>100*(V17-U17)/U17</f>
        <v>2.0336708428180024</v>
      </c>
      <c r="AV17" s="49">
        <f t="shared" ref="AV17:AV18" si="7">100*(W17-V17)/V17</f>
        <v>-0.5069270777499848</v>
      </c>
      <c r="AW17" s="49">
        <f>100*(X17-W17)/W17</f>
        <v>2.6488799343149294</v>
      </c>
      <c r="AX17" s="49">
        <f>100*(Y17-X17)/X17</f>
        <v>3.9859481680484974</v>
      </c>
      <c r="AY17" s="49">
        <f>100*(Z17-Y17)/Y17</f>
        <v>6.6279161714707708</v>
      </c>
      <c r="AZ17" s="50">
        <f>100*(EXP(LN(Z17/O17)/11)-1)</f>
        <v>3.00026634496664</v>
      </c>
    </row>
    <row r="18" spans="1:52" ht="15" customHeight="1" x14ac:dyDescent="0.25">
      <c r="A18" s="1" t="s">
        <v>6</v>
      </c>
      <c r="B18" s="35">
        <v>3329</v>
      </c>
      <c r="C18" s="35">
        <v>3184</v>
      </c>
      <c r="D18" s="3">
        <f>Kunnat!D18+Kuntayhtymät!D18</f>
        <v>3193.0531658854334</v>
      </c>
      <c r="E18" s="3">
        <f>Kunnat!E18+Kuntayhtymät!E18</f>
        <v>3350.3431874639446</v>
      </c>
      <c r="F18" s="3">
        <f>Kunnat!F18+Kuntayhtymät!F18</f>
        <v>3667.04</v>
      </c>
      <c r="G18" s="3">
        <f>Kunnat!G18+Kuntayhtymät!G18</f>
        <v>3892.3040000000001</v>
      </c>
      <c r="H18" s="3">
        <f>Kunnat!H18+Kuntayhtymät!H18</f>
        <v>4289.2039999999997</v>
      </c>
      <c r="I18" s="3">
        <f>Kunnat!I18+Kuntayhtymät!I18</f>
        <v>4735.3869999999997</v>
      </c>
      <c r="J18" s="3">
        <v>5067.9170000000004</v>
      </c>
      <c r="K18" s="3">
        <v>5496.6490000000003</v>
      </c>
      <c r="L18" s="76">
        <v>5756.6090000000004</v>
      </c>
      <c r="M18" s="76">
        <v>6426</v>
      </c>
      <c r="N18" s="76">
        <v>6910.41</v>
      </c>
      <c r="O18" s="3">
        <v>7432.5479999999998</v>
      </c>
      <c r="P18" s="3">
        <v>7660.4870000000001</v>
      </c>
      <c r="Q18" s="3">
        <v>8070.9549999999999</v>
      </c>
      <c r="R18" s="3">
        <v>8288.2099999999991</v>
      </c>
      <c r="S18" s="3">
        <f>Kunnat!S18+Kuntayhtymät!S18</f>
        <v>8160.9970000000003</v>
      </c>
      <c r="T18" s="3">
        <f>Kunnat!T18+Kuntayhtymät!T18</f>
        <v>8196.3220000000001</v>
      </c>
      <c r="U18" s="3">
        <f>Kunnat!U18+Kuntayhtymät!U18</f>
        <v>8792.023000000001</v>
      </c>
      <c r="V18" s="3">
        <f>Kunnat!V18+Kuntayhtymät!V18</f>
        <v>8503.5540000000074</v>
      </c>
      <c r="W18" s="3">
        <f>Kunnat!W18+Kuntayhtymät!W18</f>
        <v>8457.0580000000009</v>
      </c>
      <c r="X18" s="3">
        <v>8640.7950000000001</v>
      </c>
      <c r="Y18" s="3">
        <v>11005.673000000001</v>
      </c>
      <c r="Z18" s="3">
        <v>10066.06</v>
      </c>
      <c r="AA18" s="3">
        <f>Kunnat!AA18+Kuntayhtymät!AA18</f>
        <v>0</v>
      </c>
      <c r="AB18" s="3">
        <f>Kunnat!AB18+Kuntayhtymät!AB18</f>
        <v>-4.3748421318514854</v>
      </c>
      <c r="AC18" s="3">
        <f>Kunnat!AC18+Kuntayhtymät!AC18</f>
        <v>0.29601141106238887</v>
      </c>
      <c r="AD18" s="3">
        <f>Kunnat!AD18+Kuntayhtymät!AD18</f>
        <v>4.9260069722294988</v>
      </c>
      <c r="AE18" s="3">
        <f>Kunnat!AE18+Kuntayhtymät!AE18</f>
        <v>9.4526678258229513</v>
      </c>
      <c r="AF18" s="3">
        <f>Kunnat!AF18+Kuntayhtymät!AF18</f>
        <v>6.1429381735677859</v>
      </c>
      <c r="AG18" s="3">
        <f>Kunnat!AG18+Kuntayhtymät!AG18</f>
        <v>10.197045246208919</v>
      </c>
      <c r="AH18" s="3">
        <f>Kunnat!AH18+Kuntayhtymät!AH18</f>
        <v>10.402466285119571</v>
      </c>
      <c r="AI18" s="3">
        <f>Kunnat!AI18+Kuntayhtymät!AI18</f>
        <v>7.0222349303235552</v>
      </c>
      <c r="AJ18" s="3">
        <f>Kunnat!AJ18+Kuntayhtymät!AJ18</f>
        <v>8.4597281289334436</v>
      </c>
      <c r="AK18" s="3">
        <f>Kunnat!AK18+Kuntayhtymät!AK18</f>
        <v>4.7294269654111085</v>
      </c>
      <c r="AL18" s="49">
        <f>100*(M18-L18)/L18</f>
        <v>11.628217236918463</v>
      </c>
      <c r="AM18" s="49">
        <f>100*(N18-M18)/M18</f>
        <v>7.5382819794584481</v>
      </c>
      <c r="AN18" s="49">
        <f>100*(O18-N18)/N18</f>
        <v>7.5558179615970671</v>
      </c>
      <c r="AO18" s="49">
        <f>100*(P18-O18)/O18</f>
        <v>3.0667679509099748</v>
      </c>
      <c r="AP18" s="49">
        <f>100*(Q18-P18)/P18</f>
        <v>5.3582494167798975</v>
      </c>
      <c r="AQ18" s="49">
        <f>100*(R18-Q18)/Q18</f>
        <v>2.691812802821961</v>
      </c>
      <c r="AR18" s="49">
        <f>100*(S18-R18)/R18</f>
        <v>-1.5348669978197806</v>
      </c>
      <c r="AS18" s="49">
        <f>100*(T18-S18)/S18</f>
        <v>0.43285152537122384</v>
      </c>
      <c r="AT18" s="49">
        <f>100*(U18-T18)/T18</f>
        <v>7.2679062633215352</v>
      </c>
      <c r="AU18" s="49">
        <f>100*(V18-U18)/U18</f>
        <v>-3.2810309982127395</v>
      </c>
      <c r="AV18" s="49">
        <f t="shared" si="7"/>
        <v>-0.54678314502390912</v>
      </c>
      <c r="AW18" s="49">
        <f>100*(X18-W18)/W18</f>
        <v>2.172587677653377</v>
      </c>
      <c r="AX18" s="49">
        <f>100*(Y18-X18)/X18</f>
        <v>27.368754842581041</v>
      </c>
      <c r="AY18" s="49">
        <f>100*(Z18-Y18)/Y18</f>
        <v>-8.5375333248589271</v>
      </c>
      <c r="AZ18" s="50">
        <f>100*(EXP(LN(Z18/O18)/11)-1)</f>
        <v>2.7956432193699809</v>
      </c>
    </row>
    <row r="19" spans="1:52" ht="15" hidden="1" customHeight="1" x14ac:dyDescent="0.25">
      <c r="A19" s="1" t="s">
        <v>7</v>
      </c>
      <c r="B19" s="35">
        <v>-696</v>
      </c>
      <c r="C19" s="35">
        <v>-750</v>
      </c>
      <c r="D19" s="3">
        <f>Kunnat!D19+Kuntayhtymät!D19</f>
        <v>-771.32782686062092</v>
      </c>
      <c r="E19" s="3">
        <f>Kunnat!E19+Kuntayhtymät!E19</f>
        <v>-815.66939635671315</v>
      </c>
      <c r="F19" s="3">
        <f>Kunnat!F19+Kuntayhtymät!F19</f>
        <v>-881.46699999999998</v>
      </c>
      <c r="G19" s="3"/>
      <c r="H19" s="3"/>
      <c r="I19" s="3"/>
      <c r="J19" s="3"/>
      <c r="K19" s="3"/>
      <c r="L19" s="76"/>
      <c r="M19" s="76"/>
      <c r="N19" s="7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50" t="e">
        <f t="shared" ref="AZ19" si="8">100*(EXP(LN(O19/L19)/9)-1)</f>
        <v>#DIV/0!</v>
      </c>
    </row>
    <row r="20" spans="1:52" ht="15" customHeight="1" x14ac:dyDescent="0.25">
      <c r="A20" s="1" t="s">
        <v>8</v>
      </c>
      <c r="B20" s="35"/>
      <c r="C20" s="35"/>
      <c r="D20" s="3"/>
      <c r="E20" s="3"/>
      <c r="F20" s="3"/>
      <c r="G20" s="3"/>
      <c r="H20" s="3"/>
      <c r="I20" s="3"/>
      <c r="J20" s="3"/>
      <c r="K20" s="3"/>
      <c r="L20" s="76"/>
      <c r="M20" s="76"/>
      <c r="N20" s="7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50"/>
    </row>
    <row r="21" spans="1:52" ht="15" customHeight="1" x14ac:dyDescent="0.25">
      <c r="A21" s="1" t="s">
        <v>9</v>
      </c>
      <c r="B21" s="35">
        <v>255</v>
      </c>
      <c r="C21" s="35">
        <v>235</v>
      </c>
      <c r="D21" s="3">
        <f>Kunnat!D21+Kuntayhtymät!D21</f>
        <v>207.5955349469283</v>
      </c>
      <c r="E21" s="3">
        <f>Kunnat!E21+Kuntayhtymät!E21</f>
        <v>245.84550593451098</v>
      </c>
      <c r="F21" s="3">
        <f>Kunnat!F21+Kuntayhtymät!F21</f>
        <v>253.60399999999998</v>
      </c>
      <c r="G21" s="3">
        <f>Kunnat!G21+Kuntayhtymät!G21</f>
        <v>187.90900000000002</v>
      </c>
      <c r="H21" s="3">
        <f>Kunnat!H21+Kuntayhtymät!H21</f>
        <v>178.51300000000001</v>
      </c>
      <c r="I21" s="3">
        <f>Kunnat!I21+Kuntayhtymät!I21</f>
        <v>155.654</v>
      </c>
      <c r="J21" s="3">
        <v>159.64099999999999</v>
      </c>
      <c r="K21" s="3">
        <v>208.55099999999999</v>
      </c>
      <c r="L21" s="76">
        <v>261.08199999999999</v>
      </c>
      <c r="M21" s="76">
        <v>290</v>
      </c>
      <c r="N21" s="76">
        <v>207.298</v>
      </c>
      <c r="O21" s="3">
        <v>233.77100000000002</v>
      </c>
      <c r="P21" s="3">
        <v>263.75700000000001</v>
      </c>
      <c r="Q21" s="3">
        <v>229.77200000000002</v>
      </c>
      <c r="R21" s="3">
        <v>212.25</v>
      </c>
      <c r="S21" s="3">
        <f>Kunnat!S21+Kuntayhtymät!S21</f>
        <v>206.56199999999998</v>
      </c>
      <c r="T21" s="3">
        <f>Kunnat!T21+Kuntayhtymät!T21</f>
        <v>255.607</v>
      </c>
      <c r="U21" s="3">
        <f>Kunnat!U21+Kuntayhtymät!U21</f>
        <v>250.364</v>
      </c>
      <c r="V21" s="3">
        <f>Kunnat!V21+Kuntayhtymät!V21</f>
        <v>251.67499999999993</v>
      </c>
      <c r="W21" s="3">
        <f>Kunnat!W21+Kuntayhtymät!W21</f>
        <v>246.78800000000001</v>
      </c>
      <c r="X21" s="3">
        <v>236.22</v>
      </c>
      <c r="Y21" s="3">
        <v>227.11199999999999</v>
      </c>
      <c r="Z21" s="3">
        <v>228.09</v>
      </c>
      <c r="AA21" s="3">
        <f>Kunnat!AA21+Kuntayhtymät!AA21</f>
        <v>0</v>
      </c>
      <c r="AB21" s="3">
        <f>Kunnat!AB21+Kuntayhtymät!AB21</f>
        <v>-4.5540601455341703</v>
      </c>
      <c r="AC21" s="3">
        <f>Kunnat!AC21+Kuntayhtymät!AC21</f>
        <v>-10.551252961483769</v>
      </c>
      <c r="AD21" s="3">
        <f>Kunnat!AD21+Kuntayhtymät!AD21</f>
        <v>118.85572594330479</v>
      </c>
      <c r="AE21" s="3">
        <f>Kunnat!AE21+Kuntayhtymät!AE21</f>
        <v>3.3736873873631317</v>
      </c>
      <c r="AF21" s="3">
        <f>Kunnat!AF21+Kuntayhtymät!AF21</f>
        <v>-49.805751248309114</v>
      </c>
      <c r="AG21" s="3">
        <f>Kunnat!AG21+Kuntayhtymät!AG21</f>
        <v>-16.898798443712266</v>
      </c>
      <c r="AH21" s="3">
        <f>Kunnat!AH21+Kuntayhtymät!AH21</f>
        <v>-19.117924716540628</v>
      </c>
      <c r="AI21" s="3">
        <f>Kunnat!AI21+Kuntayhtymät!AI21</f>
        <v>3.4740351720662295</v>
      </c>
      <c r="AJ21" s="3">
        <f>Kunnat!AJ21+Kuntayhtymät!AJ21</f>
        <v>96.840425085298904</v>
      </c>
      <c r="AK21" s="3">
        <f>Kunnat!AK21+Kuntayhtymät!AK21</f>
        <v>41.883123942453309</v>
      </c>
      <c r="AL21" s="49">
        <f>100*(M21-L21)/L21</f>
        <v>11.076213603388977</v>
      </c>
      <c r="AM21" s="49">
        <f>100*(N21-M21)/M21</f>
        <v>-28.517931034482761</v>
      </c>
      <c r="AN21" s="49">
        <f>100*(O21-N21)/N21</f>
        <v>12.770504298160143</v>
      </c>
      <c r="AO21" s="49">
        <f>100*(P21-O21)/O21</f>
        <v>12.827082914476128</v>
      </c>
      <c r="AP21" s="49">
        <f>100*(Q21-P21)/P21</f>
        <v>-12.884966086208133</v>
      </c>
      <c r="AQ21" s="49">
        <f>100*(R21-Q21)/Q21</f>
        <v>-7.6258203784621363</v>
      </c>
      <c r="AR21" s="49">
        <f>100*(S21-R21)/R21</f>
        <v>-2.6798586572438241</v>
      </c>
      <c r="AS21" s="49">
        <f>100*(T21-S21)/S21</f>
        <v>23.743476534890263</v>
      </c>
      <c r="AT21" s="49">
        <f>100*(U21-T21)/T21</f>
        <v>-2.0511957810232095</v>
      </c>
      <c r="AU21" s="49">
        <f>100*(V21-U21)/U21</f>
        <v>0.52363758367813329</v>
      </c>
      <c r="AV21" s="49">
        <f t="shared" ref="AV21" si="9">100*(W21-V21)/V21</f>
        <v>-1.9417900069533791</v>
      </c>
      <c r="AW21" s="49">
        <f>100*(X21-W21)/W21</f>
        <v>-4.282217936042275</v>
      </c>
      <c r="AX21" s="49">
        <f>100*(Y21-X21)/X21</f>
        <v>-3.8557277114554247</v>
      </c>
      <c r="AY21" s="49">
        <f>100*(Z21-Y21)/Y21</f>
        <v>0.4306245376730462</v>
      </c>
      <c r="AZ21" s="50">
        <f>100*(EXP(LN(Z21/O21)/11)-1)</f>
        <v>-0.22340204714039746</v>
      </c>
    </row>
    <row r="22" spans="1:52" ht="15" customHeight="1" x14ac:dyDescent="0.25">
      <c r="A22" s="1" t="s">
        <v>10</v>
      </c>
      <c r="B22" s="35">
        <v>129</v>
      </c>
      <c r="C22" s="35">
        <v>155</v>
      </c>
      <c r="D22" s="3">
        <f>Kunnat!D22+Kuntayhtymät!D22</f>
        <v>207.63775011647013</v>
      </c>
      <c r="E22" s="3">
        <f>Kunnat!E22+Kuntayhtymät!E22</f>
        <v>146.27657159003184</v>
      </c>
      <c r="F22" s="3">
        <f>Kunnat!F22+Kuntayhtymät!F22</f>
        <v>151.02199999999999</v>
      </c>
      <c r="G22" s="3">
        <f>Kunnat!G22+Kuntayhtymät!G22</f>
        <v>167.06700000000001</v>
      </c>
      <c r="H22" s="3">
        <f>Kunnat!H22+Kuntayhtymät!H22</f>
        <v>182.25900000000001</v>
      </c>
      <c r="I22" s="3">
        <f>Kunnat!I22+Kuntayhtymät!I22</f>
        <v>236.94399999999999</v>
      </c>
      <c r="J22" s="3">
        <v>265.44</v>
      </c>
      <c r="K22" s="3">
        <v>268.80799999999999</v>
      </c>
      <c r="L22" s="76">
        <v>291.29700000000003</v>
      </c>
      <c r="M22" s="76">
        <v>263.56</v>
      </c>
      <c r="N22" s="76">
        <v>323.56700000000006</v>
      </c>
      <c r="O22" s="3">
        <v>314.94399999999996</v>
      </c>
      <c r="P22" s="3">
        <v>302.29500000000002</v>
      </c>
      <c r="Q22" s="3">
        <v>379.41199999999998</v>
      </c>
      <c r="R22" s="3">
        <v>363.17</v>
      </c>
      <c r="S22" s="3">
        <f>Kunnat!S22+Kuntayhtymät!S22</f>
        <v>339.44</v>
      </c>
      <c r="T22" s="3">
        <f>Kunnat!T22+Kuntayhtymät!T22</f>
        <v>390.48699999999997</v>
      </c>
      <c r="U22" s="3">
        <f>Kunnat!U22+Kuntayhtymät!U22</f>
        <v>352.96699999999998</v>
      </c>
      <c r="V22" s="3">
        <f>Kunnat!V22+Kuntayhtymät!V22</f>
        <v>428.07799999999992</v>
      </c>
      <c r="W22" s="3">
        <f>Kunnat!W22+Kuntayhtymät!W22</f>
        <v>418.23599999999999</v>
      </c>
      <c r="X22" s="3">
        <v>546.03699999999992</v>
      </c>
      <c r="Y22" s="3">
        <v>488.86099999999999</v>
      </c>
      <c r="Z22" s="3">
        <v>595.45399999999995</v>
      </c>
      <c r="AA22" s="3">
        <f>Kunnat!AA22+Kuntayhtymät!AA22</f>
        <v>0</v>
      </c>
      <c r="AB22" s="3">
        <f>Kunnat!AB22+Kuntayhtymät!AB22</f>
        <v>0</v>
      </c>
      <c r="AC22" s="3">
        <f>Kunnat!AC22+Kuntayhtymät!AC22</f>
        <v>0</v>
      </c>
      <c r="AD22" s="3">
        <f>Kunnat!AD22+Kuntayhtymät!AD22</f>
        <v>0</v>
      </c>
      <c r="AE22" s="3">
        <f>Kunnat!AE22+Kuntayhtymät!AE22</f>
        <v>0</v>
      </c>
      <c r="AF22" s="3">
        <f>Kunnat!AF22+Kuntayhtymät!AF22</f>
        <v>0</v>
      </c>
      <c r="AG22" s="3">
        <f>Kunnat!AG22+Kuntayhtymät!AG22</f>
        <v>0</v>
      </c>
      <c r="AH22" s="3">
        <f>Kunnat!AH22+Kuntayhtymät!AH22</f>
        <v>0</v>
      </c>
      <c r="AI22" s="3">
        <f>Kunnat!AI22+Kuntayhtymät!AI22</f>
        <v>0</v>
      </c>
      <c r="AJ22" s="3">
        <f>Kunnat!AJ22+Kuntayhtymät!AJ22</f>
        <v>0</v>
      </c>
      <c r="AK22" s="3">
        <f>Kunnat!AK22+Kuntayhtymät!AK22</f>
        <v>0</v>
      </c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50"/>
    </row>
    <row r="23" spans="1:52" ht="15" customHeight="1" x14ac:dyDescent="0.25">
      <c r="A23" s="1" t="s">
        <v>11</v>
      </c>
      <c r="B23" s="35">
        <v>-313</v>
      </c>
      <c r="C23" s="35">
        <v>-287</v>
      </c>
      <c r="D23" s="3">
        <f>Kunnat!D23+Kuntayhtymät!D23</f>
        <v>-239.2064557253693</v>
      </c>
      <c r="E23" s="3">
        <f>Kunnat!E23+Kuntayhtymät!E23</f>
        <v>-243.79680880228332</v>
      </c>
      <c r="F23" s="3">
        <f>Kunnat!F23+Kuntayhtymät!F23</f>
        <v>-258.96100000000001</v>
      </c>
      <c r="G23" s="3">
        <f>Kunnat!G23+Kuntayhtymät!G23</f>
        <v>-205.798</v>
      </c>
      <c r="H23" s="3">
        <f>Kunnat!H23+Kuntayhtymät!H23</f>
        <v>-186.57100000000003</v>
      </c>
      <c r="I23" s="3">
        <f>Kunnat!I23+Kuntayhtymät!I23</f>
        <v>-188.018</v>
      </c>
      <c r="J23" s="3">
        <v>-210.15699999999998</v>
      </c>
      <c r="K23" s="3">
        <v>-268.327</v>
      </c>
      <c r="L23" s="76">
        <v>-363.37</v>
      </c>
      <c r="M23" s="76">
        <v>-427</v>
      </c>
      <c r="N23" s="76">
        <v>-294.22199999999998</v>
      </c>
      <c r="O23" s="3">
        <v>-295.49700000000001</v>
      </c>
      <c r="P23" s="3">
        <v>-353.46600000000001</v>
      </c>
      <c r="Q23" s="3">
        <v>-334.416</v>
      </c>
      <c r="R23" s="3">
        <v>-298.39999999999998</v>
      </c>
      <c r="S23" s="3">
        <f>Kunnat!S23+Kuntayhtymät!S23</f>
        <v>-312.93200000000002</v>
      </c>
      <c r="T23" s="3">
        <f>Kunnat!T23+Kuntayhtymät!T23</f>
        <v>-291.08299999999997</v>
      </c>
      <c r="U23" s="3">
        <f>Kunnat!U23+Kuntayhtymät!U23</f>
        <v>-267.74599999999998</v>
      </c>
      <c r="V23" s="3">
        <f>Kunnat!V23+Kuntayhtymät!V23</f>
        <v>-256.267</v>
      </c>
      <c r="W23" s="3">
        <f>Kunnat!W23+Kuntayhtymät!W23</f>
        <v>-250.17199999999997</v>
      </c>
      <c r="X23" s="3">
        <v>-249.47200000000001</v>
      </c>
      <c r="Y23" s="3">
        <v>-251.768</v>
      </c>
      <c r="Z23" s="3">
        <v>-252.22499999999999</v>
      </c>
      <c r="AA23" s="3">
        <f>Kunnat!AA23+Kuntayhtymät!AA23</f>
        <v>0</v>
      </c>
      <c r="AB23" s="3">
        <f>Kunnat!AB23+Kuntayhtymät!AB23</f>
        <v>-13.648434136146152</v>
      </c>
      <c r="AC23" s="3">
        <f>Kunnat!AC23+Kuntayhtymät!AC23</f>
        <v>-33.038070534117047</v>
      </c>
      <c r="AD23" s="3">
        <f>Kunnat!AD23+Kuntayhtymät!AD23</f>
        <v>-11.496586550346331</v>
      </c>
      <c r="AE23" s="3">
        <f>Kunnat!AE23+Kuntayhtymät!AE23</f>
        <v>4.4023161029598974</v>
      </c>
      <c r="AF23" s="3">
        <f>Kunnat!AF23+Kuntayhtymät!AF23</f>
        <v>-64.100808228252248</v>
      </c>
      <c r="AG23" s="3">
        <f>Kunnat!AG23+Kuntayhtymät!AG23</f>
        <v>-19.564522159798642</v>
      </c>
      <c r="AH23" s="3">
        <f>Kunnat!AH23+Kuntayhtymät!AH23</f>
        <v>-13.56498312405339</v>
      </c>
      <c r="AI23" s="3">
        <f>Kunnat!AI23+Kuntayhtymät!AI23</f>
        <v>24.880447445112715</v>
      </c>
      <c r="AJ23" s="3">
        <f>Kunnat!AJ23+Kuntayhtymät!AJ23</f>
        <v>54.702641779792373</v>
      </c>
      <c r="AK23" s="3">
        <f>Kunnat!AK23+Kuntayhtymät!AK23</f>
        <v>88.418900081339658</v>
      </c>
      <c r="AL23" s="49">
        <f>100*(M23-L23)/L23</f>
        <v>17.511076863802735</v>
      </c>
      <c r="AM23" s="49">
        <f>100*(N23-M23)/M23</f>
        <v>-31.095550351288065</v>
      </c>
      <c r="AN23" s="49">
        <f>100*(O23-N23)/N23</f>
        <v>0.43334624875095479</v>
      </c>
      <c r="AO23" s="49">
        <f>100*(P23-O23)/O23</f>
        <v>19.61745804525934</v>
      </c>
      <c r="AP23" s="49">
        <f>100*(Q23-P23)/P23</f>
        <v>-5.389485834564006</v>
      </c>
      <c r="AQ23" s="49">
        <f>100*(R23-Q23)/Q23</f>
        <v>-10.769819625855229</v>
      </c>
      <c r="AR23" s="49">
        <f>100*(S23-R23)/R23</f>
        <v>4.8699731903485386</v>
      </c>
      <c r="AS23" s="49">
        <f>100*(T23-S23)/S23</f>
        <v>-6.9820280444313925</v>
      </c>
      <c r="AT23" s="49">
        <f>100*(U23-T23)/T23</f>
        <v>-8.017300907301351</v>
      </c>
      <c r="AU23" s="49">
        <f>100*(V23-U23)/U23</f>
        <v>-4.2872722655053614</v>
      </c>
      <c r="AV23" s="49">
        <f t="shared" ref="AV23" si="10">100*(W23-V23)/V23</f>
        <v>-2.3783788002357023</v>
      </c>
      <c r="AW23" s="49">
        <f>100*(X23-W23)/W23</f>
        <v>-0.27980749244518183</v>
      </c>
      <c r="AX23" s="49">
        <f>100*(Y23-X23)/X23</f>
        <v>0.92034376603386037</v>
      </c>
      <c r="AY23" s="49">
        <f>100*(Z23-Y23)/Y23</f>
        <v>0.18151631660893905</v>
      </c>
      <c r="AZ23" s="50">
        <f>100*(EXP(LN(Z23/O23)/11)-1)</f>
        <v>-1.4291182855939999</v>
      </c>
    </row>
    <row r="24" spans="1:52" ht="15" customHeight="1" x14ac:dyDescent="0.25">
      <c r="A24" s="1" t="s">
        <v>12</v>
      </c>
      <c r="B24" s="35">
        <v>-117</v>
      </c>
      <c r="C24" s="35">
        <v>-142</v>
      </c>
      <c r="D24" s="3">
        <f>Kunnat!D24+Kuntayhtymät!D24</f>
        <v>-81.962013074929402</v>
      </c>
      <c r="E24" s="3">
        <f>Kunnat!E24+Kuntayhtymät!E24</f>
        <v>-95.24196356040386</v>
      </c>
      <c r="F24" s="3">
        <f>Kunnat!F24+Kuntayhtymät!F24</f>
        <v>-82.531000000000006</v>
      </c>
      <c r="G24" s="3">
        <f>Kunnat!G24+Kuntayhtymät!G24</f>
        <v>-99.510999999999996</v>
      </c>
      <c r="H24" s="3">
        <f>Kunnat!H24+Kuntayhtymät!H24</f>
        <v>-54.591000000000001</v>
      </c>
      <c r="I24" s="3">
        <f>Kunnat!I24+Kuntayhtymät!I24</f>
        <v>-58.786000000000001</v>
      </c>
      <c r="J24" s="3">
        <v>-53.260999999999996</v>
      </c>
      <c r="K24" s="3">
        <v>-58.242000000000004</v>
      </c>
      <c r="L24" s="76">
        <v>-74.81</v>
      </c>
      <c r="M24" s="76">
        <v>-255</v>
      </c>
      <c r="N24" s="76">
        <v>-40.942</v>
      </c>
      <c r="O24" s="3">
        <v>-66.540000000000006</v>
      </c>
      <c r="P24" s="3">
        <v>-130.22399999999999</v>
      </c>
      <c r="Q24" s="3">
        <v>-73.058999999999997</v>
      </c>
      <c r="R24" s="3">
        <v>-67.14</v>
      </c>
      <c r="S24" s="3">
        <f>Kunnat!S24+Kuntayhtymät!S24</f>
        <v>-64.207999999999998</v>
      </c>
      <c r="T24" s="3">
        <f>Kunnat!T24+Kuntayhtymät!T24</f>
        <v>-100.773</v>
      </c>
      <c r="U24" s="3">
        <f>Kunnat!U24+Kuntayhtymät!U24</f>
        <v>-64.784000000000006</v>
      </c>
      <c r="V24" s="3">
        <f>Kunnat!V24+Kuntayhtymät!V24</f>
        <v>-51.155999999999999</v>
      </c>
      <c r="W24" s="3">
        <f>Kunnat!W24+Kuntayhtymät!W24</f>
        <v>-106.544</v>
      </c>
      <c r="X24" s="3">
        <v>-62.643000000000001</v>
      </c>
      <c r="Y24" s="3">
        <v>-95.122</v>
      </c>
      <c r="Z24" s="3">
        <v>-48.786000000000001</v>
      </c>
      <c r="AA24" s="3">
        <f>Kunnat!AA24+Kuntayhtymät!AA24</f>
        <v>0</v>
      </c>
      <c r="AB24" s="3">
        <f>Kunnat!AB24+Kuntayhtymät!AB24</f>
        <v>0</v>
      </c>
      <c r="AC24" s="3">
        <f>Kunnat!AC24+Kuntayhtymät!AC24</f>
        <v>0</v>
      </c>
      <c r="AD24" s="3">
        <f>Kunnat!AD24+Kuntayhtymät!AD24</f>
        <v>0</v>
      </c>
      <c r="AE24" s="3">
        <f>Kunnat!AE24+Kuntayhtymät!AE24</f>
        <v>0</v>
      </c>
      <c r="AF24" s="3">
        <f>Kunnat!AF24+Kuntayhtymät!AF24</f>
        <v>0</v>
      </c>
      <c r="AG24" s="3">
        <f>Kunnat!AG24+Kuntayhtymät!AG24</f>
        <v>0</v>
      </c>
      <c r="AH24" s="3">
        <f>Kunnat!AH24+Kuntayhtymät!AH24</f>
        <v>0</v>
      </c>
      <c r="AI24" s="3">
        <f>Kunnat!AI24+Kuntayhtymät!AI24</f>
        <v>0</v>
      </c>
      <c r="AJ24" s="3">
        <f>Kunnat!AJ24+Kuntayhtymät!AJ24</f>
        <v>0</v>
      </c>
      <c r="AK24" s="3">
        <f>Kunnat!AK24+Kuntayhtymät!AK24</f>
        <v>0</v>
      </c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50"/>
    </row>
    <row r="25" spans="1:52" ht="13.5" x14ac:dyDescent="0.25">
      <c r="A25" s="1"/>
      <c r="B25" s="35"/>
      <c r="C25" s="35"/>
      <c r="AD25" s="23"/>
      <c r="AE25" s="23"/>
      <c r="AF25" s="23"/>
      <c r="AG25" s="23"/>
      <c r="AH25" s="23"/>
      <c r="AI25" s="23"/>
      <c r="AJ25" s="23"/>
      <c r="AK25" s="23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50"/>
    </row>
    <row r="26" spans="1:52" ht="13.5" x14ac:dyDescent="0.25">
      <c r="A26" s="8" t="s">
        <v>13</v>
      </c>
      <c r="B26" s="10">
        <v>1249</v>
      </c>
      <c r="C26" s="10">
        <v>1492</v>
      </c>
      <c r="D26" s="10">
        <f>D15+D17+D18+D21+D22+D23+D24+D19</f>
        <v>1582.4944960501016</v>
      </c>
      <c r="E26" s="10">
        <f>E15+E17+E18+E21+E22+E23+E24+E19</f>
        <v>1698.0993082430568</v>
      </c>
      <c r="F26" s="10">
        <f>F15+F17+F18+F21+F22+F23+F24+F19</f>
        <v>1952.6889999999999</v>
      </c>
      <c r="G26" s="10">
        <f>G15+G17+G18+G21+G22+G23+G24</f>
        <v>2262.5569999999975</v>
      </c>
      <c r="H26" s="10">
        <f>H15+H17+H18+H21+H22+H23+H24</f>
        <v>1584.2379999999953</v>
      </c>
      <c r="I26" s="10">
        <f>I15+I17+I18+I21+I22+I23+I24</f>
        <v>1439.8240000000014</v>
      </c>
      <c r="J26" s="10">
        <v>1476.7819999999981</v>
      </c>
      <c r="K26" s="10">
        <v>2104.3050000000039</v>
      </c>
      <c r="L26" s="78">
        <v>2387.2129999999993</v>
      </c>
      <c r="M26" s="78">
        <v>2400.8499999999935</v>
      </c>
      <c r="N26" s="78">
        <v>2306.0729999999958</v>
      </c>
      <c r="O26" s="10">
        <v>3025.4940000000111</v>
      </c>
      <c r="P26" s="10">
        <v>2547.6500000000069</v>
      </c>
      <c r="Q26" s="10">
        <v>1791.4569999999976</v>
      </c>
      <c r="R26" s="10">
        <v>2693.1899999999978</v>
      </c>
      <c r="S26" s="10">
        <f>S15+S17+S18+S21+S22+S23+S24</f>
        <v>2843.7970000000055</v>
      </c>
      <c r="T26" s="10">
        <f>T15+T17+T18+T21+T22+T23+T24</f>
        <v>2680.6209999999942</v>
      </c>
      <c r="U26" s="10">
        <f>U15+U17+U18+U21+U22+U23+U24</f>
        <v>3400.0870000000036</v>
      </c>
      <c r="V26" s="10">
        <f>V15+V17+V18+V21+V22+V23+V24</f>
        <v>3940.2960000000076</v>
      </c>
      <c r="W26" s="10">
        <f>W15+W17+W18+W21+W22+W23+W24</f>
        <v>3865.8140000000017</v>
      </c>
      <c r="X26" s="10">
        <f t="shared" ref="X26:Z26" si="11">X15+X17+X18+X21+X22+X23+X24</f>
        <v>2329.3409999999981</v>
      </c>
      <c r="Y26" s="10">
        <f t="shared" si="11"/>
        <v>4694.0960000000005</v>
      </c>
      <c r="Z26" s="10">
        <f t="shared" si="11"/>
        <v>4770.350000000004</v>
      </c>
      <c r="AA26" s="10"/>
      <c r="AB26" s="18">
        <f>100*(C26-B26)/B26</f>
        <v>19.455564451561248</v>
      </c>
      <c r="AC26" s="18">
        <f>100*(D26-C26)/C26</f>
        <v>6.0653147486663261</v>
      </c>
      <c r="AD26" s="18">
        <f>100*(E26-D26)/D26</f>
        <v>7.3052268100460562</v>
      </c>
      <c r="AE26" s="18">
        <f>100*(F26-E26)/E26</f>
        <v>14.992626786966595</v>
      </c>
      <c r="AF26" s="18">
        <f>100*(G26-F26)/F26</f>
        <v>15.868784020394322</v>
      </c>
      <c r="AG26" s="18">
        <f>100*(H26-G26)/G26</f>
        <v>-29.980194974093603</v>
      </c>
      <c r="AH26" s="18">
        <f>100*(I26-H26)/H26</f>
        <v>-9.1156758012365735</v>
      </c>
      <c r="AI26" s="18">
        <f>100*(J26-I26)/I26</f>
        <v>2.5668415028501146</v>
      </c>
      <c r="AJ26" s="18">
        <f>100*(K26-J26)/J26</f>
        <v>42.492595386455591</v>
      </c>
      <c r="AK26" s="18">
        <f>100*(L26-K26)/K26</f>
        <v>13.444248813741108</v>
      </c>
      <c r="AL26" s="61">
        <f>100*(M26-L26)/L26</f>
        <v>0.57125191593687963</v>
      </c>
      <c r="AM26" s="61">
        <f>100*(N26-M26)/M26</f>
        <v>-3.9476435429118033</v>
      </c>
      <c r="AN26" s="61">
        <f>100*(O26-N26)/N26</f>
        <v>31.196800795118655</v>
      </c>
      <c r="AO26" s="61">
        <f>100*(P26-O26)/O26</f>
        <v>-15.79391662981326</v>
      </c>
      <c r="AP26" s="61">
        <f>100*(Q26-P26)/P26</f>
        <v>-29.681981433870718</v>
      </c>
      <c r="AQ26" s="61">
        <f>100*(R26-Q26)/Q26</f>
        <v>50.335174106886257</v>
      </c>
      <c r="AR26" s="61">
        <f>100*(S26-R26)/R26</f>
        <v>5.5921416610045274</v>
      </c>
      <c r="AS26" s="61">
        <f>100*(T26-S26)/S26</f>
        <v>-5.7379623088431062</v>
      </c>
      <c r="AT26" s="61">
        <f>100*(U26-T26)/T26</f>
        <v>26.839527109576881</v>
      </c>
      <c r="AU26" s="61">
        <f>100*(V26-U26)/U26</f>
        <v>15.888093451726482</v>
      </c>
      <c r="AV26" s="61">
        <f t="shared" ref="AV26" si="12">100*(W26-V26)/V26</f>
        <v>-1.8902640816833491</v>
      </c>
      <c r="AW26" s="61">
        <f>100*(X26-W26)/W26</f>
        <v>-39.745135177222778</v>
      </c>
      <c r="AX26" s="61">
        <f>100*(Y26-X26)/X26</f>
        <v>101.52034416601109</v>
      </c>
      <c r="AY26" s="61">
        <f>100*(Z26-Y26)/Y26</f>
        <v>1.6244661378890319</v>
      </c>
      <c r="AZ26" s="50">
        <f>100*(EXP(LN(Z26/O26)/11)-1)</f>
        <v>4.2263746228212939</v>
      </c>
    </row>
    <row r="27" spans="1:52" ht="13.5" x14ac:dyDescent="0.25">
      <c r="A27" s="1"/>
      <c r="B27" s="35"/>
      <c r="C27" s="35"/>
      <c r="AD27" s="23"/>
      <c r="AE27" s="23"/>
      <c r="AF27" s="23"/>
      <c r="AG27" s="23"/>
      <c r="AH27" s="23"/>
      <c r="AI27" s="23"/>
      <c r="AJ27" s="23"/>
      <c r="AK27" s="23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50"/>
    </row>
    <row r="28" spans="1:52" ht="15" customHeight="1" x14ac:dyDescent="0.25">
      <c r="A28" s="1" t="s">
        <v>14</v>
      </c>
      <c r="B28" s="35">
        <v>-1216</v>
      </c>
      <c r="C28" s="35">
        <v>-1274</v>
      </c>
      <c r="D28" s="3">
        <f>Kunnat!D28+Kuntayhtymät!D28</f>
        <v>-1359.7770164470971</v>
      </c>
      <c r="E28" s="3">
        <f>Kunnat!E28+Kuntayhtymät!E28</f>
        <v>-1421.1001845021553</v>
      </c>
      <c r="F28" s="3">
        <f>Kunnat!F28+Kuntayhtymät!F28</f>
        <v>-1450.0360000000001</v>
      </c>
      <c r="G28" s="3">
        <f>Kunnat!G28+Kuntayhtymät!G28</f>
        <v>-1558.8390000000002</v>
      </c>
      <c r="H28" s="3">
        <f>Kunnat!H28+Kuntayhtymät!H28</f>
        <v>-1610.7130000000002</v>
      </c>
      <c r="I28" s="3">
        <f>Kunnat!I28+Kuntayhtymät!I28</f>
        <v>-1692.4940000000001</v>
      </c>
      <c r="J28" s="3">
        <v>-1756.8589999999999</v>
      </c>
      <c r="K28" s="3">
        <v>-1781.6869999999999</v>
      </c>
      <c r="L28" s="76">
        <v>-1838.9579999999999</v>
      </c>
      <c r="M28" s="76">
        <v>-1943.4099999999999</v>
      </c>
      <c r="N28" s="76">
        <v>-2036.107</v>
      </c>
      <c r="O28" s="3">
        <v>-2155.9380000000001</v>
      </c>
      <c r="P28" s="3">
        <v>-2229.232</v>
      </c>
      <c r="Q28" s="3">
        <v>-2401.6010000000001</v>
      </c>
      <c r="R28" s="3">
        <v>-2625.15</v>
      </c>
      <c r="S28" s="3">
        <f>Kunnat!S28+Kuntayhtymät!S28</f>
        <v>-2626.8920000000003</v>
      </c>
      <c r="T28" s="3">
        <f>Kunnat!T28+Kuntayhtymät!T28</f>
        <v>-2654.3560000000002</v>
      </c>
      <c r="U28" s="3">
        <f>Kunnat!U28+Kuntayhtymät!U28</f>
        <v>-2708.6120000000001</v>
      </c>
      <c r="V28" s="3">
        <f>Kunnat!V28+Kuntayhtymät!V28</f>
        <v>-2804.3360000000002</v>
      </c>
      <c r="W28" s="3">
        <f>Kunnat!W28+Kuntayhtymät!W28</f>
        <v>-2808.1480000000001</v>
      </c>
      <c r="X28" s="3">
        <v>-2928.6469999999999</v>
      </c>
      <c r="Y28" s="3">
        <v>-3077.5819999999999</v>
      </c>
      <c r="Z28" s="3">
        <v>-3088.4369999999999</v>
      </c>
      <c r="AA28" s="3"/>
      <c r="AB28" s="18">
        <f>100*(C28-B28)/B28</f>
        <v>4.7697368421052628</v>
      </c>
      <c r="AC28" s="18">
        <f>100*(D28-C28)/C28</f>
        <v>6.7328898310123346</v>
      </c>
      <c r="AD28" s="18">
        <f>100*(E28-D28)/D28</f>
        <v>4.5097958939831821</v>
      </c>
      <c r="AE28" s="18">
        <f>100*(F28-E28)/E28</f>
        <v>2.0361559173241264</v>
      </c>
      <c r="AF28" s="18">
        <f>100*(G28-F28)/F28</f>
        <v>7.5034688793933455</v>
      </c>
      <c r="AG28" s="18">
        <f>100*(H28-G28)/G28</f>
        <v>3.327733011555396</v>
      </c>
      <c r="AH28" s="18">
        <f>100*(I28-H28)/H28</f>
        <v>5.0773166914279537</v>
      </c>
      <c r="AI28" s="18">
        <f>100*(J28-I28)/I28</f>
        <v>3.8029676914659536</v>
      </c>
      <c r="AJ28" s="18">
        <f>100*(K28-J28)/J28</f>
        <v>1.4132039053788594</v>
      </c>
      <c r="AK28" s="18">
        <f>100*(L28-K28)/K28</f>
        <v>3.2144254293823753</v>
      </c>
      <c r="AL28" s="49">
        <f>100*(M28-L28)/L28</f>
        <v>5.6799557140511103</v>
      </c>
      <c r="AM28" s="49">
        <f>100*(N28-M28)/M28</f>
        <v>4.7698118256055144</v>
      </c>
      <c r="AN28" s="49">
        <f>100*(O28-N28)/N28</f>
        <v>5.8852997411236307</v>
      </c>
      <c r="AO28" s="49">
        <f>100*(P28-O28)/O28</f>
        <v>3.3996339412357806</v>
      </c>
      <c r="AP28" s="49">
        <f>100*(Q28-P28)/P28</f>
        <v>7.7322145025730906</v>
      </c>
      <c r="AQ28" s="49">
        <f>100*(R28-Q28)/Q28</f>
        <v>9.3083322333726528</v>
      </c>
      <c r="AR28" s="49">
        <f>100*(S28-R28)/R28</f>
        <v>6.6358112869747979E-2</v>
      </c>
      <c r="AS28" s="49">
        <f>100*(T28-S28)/S28</f>
        <v>1.0454940667526469</v>
      </c>
      <c r="AT28" s="49">
        <f>100*(U28-T28)/T28</f>
        <v>2.0440362935491643</v>
      </c>
      <c r="AU28" s="49">
        <f>100*(V28-U28)/U28</f>
        <v>3.5340609876940721</v>
      </c>
      <c r="AV28" s="49">
        <f t="shared" ref="AV28" si="13">100*(W28-V28)/V28</f>
        <v>0.13593235617985497</v>
      </c>
      <c r="AW28" s="49">
        <f>100*(X28-W28)/W28</f>
        <v>4.2910487623871605</v>
      </c>
      <c r="AX28" s="49">
        <f>100*(Y28-X28)/X28</f>
        <v>5.0854541363298464</v>
      </c>
      <c r="AY28" s="49">
        <f>100*(Z28-Y28)/Y28</f>
        <v>0.35271196673232486</v>
      </c>
      <c r="AZ28" s="50">
        <f>100*(EXP(LN(Z28/O28)/11)-1)</f>
        <v>3.3216027628345524</v>
      </c>
    </row>
    <row r="29" spans="1:52" ht="15" customHeight="1" x14ac:dyDescent="0.25">
      <c r="A29" s="1" t="s">
        <v>15</v>
      </c>
      <c r="B29" s="35">
        <v>254</v>
      </c>
      <c r="C29" s="35">
        <v>417</v>
      </c>
      <c r="D29" s="3">
        <f>Kunnat!D29+Kuntayhtymät!D29</f>
        <v>431.94998763818745</v>
      </c>
      <c r="E29" s="3">
        <f>Kunnat!E29+Kuntayhtymät!E29</f>
        <v>693.06914373844756</v>
      </c>
      <c r="F29" s="3">
        <f>Kunnat!F29+Kuntayhtymät!F29</f>
        <v>209.25700000000001</v>
      </c>
      <c r="G29" s="3">
        <f>Kunnat!G29+Kuntayhtymät!G29</f>
        <v>367.678</v>
      </c>
      <c r="H29" s="3">
        <f>Kunnat!H29+Kuntayhtymät!H29</f>
        <v>275.077</v>
      </c>
      <c r="I29" s="3">
        <f>Kunnat!I29+Kuntayhtymät!I29</f>
        <v>171.542</v>
      </c>
      <c r="J29" s="3">
        <v>325.38</v>
      </c>
      <c r="K29" s="3">
        <v>798.65499999999997</v>
      </c>
      <c r="L29" s="76">
        <v>246.85399999999998</v>
      </c>
      <c r="M29" s="76">
        <v>278.57</v>
      </c>
      <c r="N29" s="76">
        <v>171.02799999999999</v>
      </c>
      <c r="O29" s="3">
        <v>1087.3400000000001</v>
      </c>
      <c r="P29" s="3">
        <v>156.32</v>
      </c>
      <c r="Q29" s="3">
        <v>284.209</v>
      </c>
      <c r="R29" s="3">
        <v>397.41999999999996</v>
      </c>
      <c r="S29" s="3">
        <f>Kunnat!S29+Kuntayhtymät!S29</f>
        <v>1969.1180000000002</v>
      </c>
      <c r="T29" s="3">
        <f>Kunnat!T29+Kuntayhtymät!T29</f>
        <v>353.255</v>
      </c>
      <c r="U29" s="3">
        <f>Kunnat!U29+Kuntayhtymät!U29</f>
        <v>402.245</v>
      </c>
      <c r="V29" s="3">
        <f>Kunnat!V29+Kuntayhtymät!V29</f>
        <v>168.654</v>
      </c>
      <c r="W29" s="3">
        <f>Kunnat!W29+Kuntayhtymät!W29</f>
        <v>102.65</v>
      </c>
      <c r="X29" s="3">
        <v>412.35199999999998</v>
      </c>
      <c r="Y29" s="3">
        <v>99.091999999999999</v>
      </c>
      <c r="Z29" s="3">
        <v>136.44999999999999</v>
      </c>
      <c r="AA29" s="3"/>
      <c r="AB29" s="3"/>
      <c r="AC29" s="3"/>
      <c r="AD29" s="23"/>
      <c r="AE29" s="23"/>
      <c r="AF29" s="23"/>
      <c r="AG29" s="23"/>
      <c r="AH29" s="23"/>
      <c r="AI29" s="23"/>
      <c r="AJ29" s="23"/>
      <c r="AK29" s="23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51"/>
    </row>
    <row r="30" spans="1:52" ht="15" customHeight="1" x14ac:dyDescent="0.25">
      <c r="A30" s="1" t="s">
        <v>16</v>
      </c>
      <c r="B30" s="35">
        <v>-620</v>
      </c>
      <c r="C30" s="35">
        <v>-67</v>
      </c>
      <c r="D30" s="3">
        <f>Kunnat!D30+Kuntayhtymät!D30</f>
        <v>-76.309216866558018</v>
      </c>
      <c r="E30" s="3">
        <f>Kunnat!E30+Kuntayhtymät!E30</f>
        <v>-31.504962384770245</v>
      </c>
      <c r="F30" s="3">
        <f>Kunnat!F30+Kuntayhtymät!F30</f>
        <v>-31.115000000000002</v>
      </c>
      <c r="G30" s="3">
        <f>Kunnat!G30+Kuntayhtymät!G30</f>
        <v>-32.921999999999997</v>
      </c>
      <c r="H30" s="3">
        <f>Kunnat!H30+Kuntayhtymät!H30</f>
        <v>-23.255000000000003</v>
      </c>
      <c r="I30" s="3">
        <f>Kunnat!I30+Kuntayhtymät!I30</f>
        <v>-24.463999999999999</v>
      </c>
      <c r="J30" s="3">
        <v>-40.369</v>
      </c>
      <c r="K30" s="3">
        <v>-37.454999999999998</v>
      </c>
      <c r="L30" s="76">
        <v>-13.138</v>
      </c>
      <c r="M30" s="76">
        <v>-17.625999999999998</v>
      </c>
      <c r="N30" s="76">
        <v>-11.428000000000001</v>
      </c>
      <c r="O30" s="3">
        <v>-26.900000000000002</v>
      </c>
      <c r="P30" s="3">
        <v>-34.58</v>
      </c>
      <c r="Q30" s="3">
        <v>-35.417000000000002</v>
      </c>
      <c r="R30" s="3">
        <v>-29.479999999999997</v>
      </c>
      <c r="S30" s="3">
        <f>Kunnat!S30+Kuntayhtymät!S30</f>
        <v>-46.84</v>
      </c>
      <c r="T30" s="3">
        <f>Kunnat!T30+Kuntayhtymät!T30</f>
        <v>-20.643999999999998</v>
      </c>
      <c r="U30" s="3">
        <f>Kunnat!U30+Kuntayhtymät!U30</f>
        <v>-26.22</v>
      </c>
      <c r="V30" s="3">
        <f>Kunnat!V30+Kuntayhtymät!V30</f>
        <v>-31</v>
      </c>
      <c r="W30" s="3">
        <f>Kunnat!W30+Kuntayhtymät!W30</f>
        <v>-30.556999999999999</v>
      </c>
      <c r="X30" s="3">
        <v>-12.204000000000001</v>
      </c>
      <c r="Y30" s="3">
        <v>-13.743</v>
      </c>
      <c r="Z30" s="3">
        <v>-8.2690000000000001</v>
      </c>
      <c r="AA30" s="3"/>
      <c r="AB30" s="3"/>
      <c r="AC30" s="3"/>
      <c r="AD30" s="23"/>
      <c r="AE30" s="23"/>
      <c r="AF30" s="23"/>
      <c r="AG30" s="23"/>
      <c r="AH30" s="23"/>
      <c r="AI30" s="23"/>
      <c r="AJ30" s="23"/>
      <c r="AK30" s="23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51"/>
    </row>
    <row r="31" spans="1:52" ht="13.5" x14ac:dyDescent="0.25">
      <c r="A31" s="4"/>
      <c r="B31" s="4"/>
      <c r="C31" s="4"/>
      <c r="AD31" s="23"/>
      <c r="AE31" s="23"/>
      <c r="AF31" s="23"/>
      <c r="AG31" s="23"/>
      <c r="AH31" s="23"/>
      <c r="AI31" s="23"/>
      <c r="AJ31" s="23"/>
      <c r="AK31" s="23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51"/>
    </row>
    <row r="32" spans="1:52" ht="13.5" x14ac:dyDescent="0.25">
      <c r="A32" s="8" t="s">
        <v>17</v>
      </c>
      <c r="B32" s="10">
        <f t="shared" ref="B32:I32" si="14">B26+B28+B29+B30</f>
        <v>-333</v>
      </c>
      <c r="C32" s="10">
        <f t="shared" si="14"/>
        <v>568</v>
      </c>
      <c r="D32" s="10">
        <f t="shared" si="14"/>
        <v>578.35825037463383</v>
      </c>
      <c r="E32" s="10">
        <f t="shared" si="14"/>
        <v>938.56330509457882</v>
      </c>
      <c r="F32" s="10">
        <f t="shared" si="14"/>
        <v>680.79499999999985</v>
      </c>
      <c r="G32" s="10">
        <f t="shared" si="14"/>
        <v>1038.4739999999974</v>
      </c>
      <c r="H32" s="10">
        <f t="shared" si="14"/>
        <v>225.34699999999509</v>
      </c>
      <c r="I32" s="10">
        <f t="shared" si="14"/>
        <v>-105.59199999999871</v>
      </c>
      <c r="J32" s="10">
        <v>4.9339999999981785</v>
      </c>
      <c r="K32" s="10">
        <v>1083.8180000000041</v>
      </c>
      <c r="L32" s="78">
        <v>781.97099999999944</v>
      </c>
      <c r="M32" s="78">
        <v>718.38399999999365</v>
      </c>
      <c r="N32" s="78">
        <v>429.56599999999582</v>
      </c>
      <c r="O32" s="10">
        <v>1929.996000000011</v>
      </c>
      <c r="P32" s="10">
        <v>440.15800000000695</v>
      </c>
      <c r="Q32" s="10">
        <v>-361.35200000000248</v>
      </c>
      <c r="R32" s="10">
        <v>435.97999999999763</v>
      </c>
      <c r="S32" s="10">
        <f>S26+S28+S29+S30</f>
        <v>2139.1830000000054</v>
      </c>
      <c r="T32" s="10">
        <f>T26+T28+T29+T30</f>
        <v>358.87599999999395</v>
      </c>
      <c r="U32" s="10">
        <f>U26+U28+U29+U30</f>
        <v>1067.5000000000034</v>
      </c>
      <c r="V32" s="10">
        <f>V26+V28+V29+V30</f>
        <v>1273.6140000000073</v>
      </c>
      <c r="W32" s="10">
        <f t="shared" ref="W32:Z32" si="15">W26+W28+W29+W30</f>
        <v>1129.7590000000016</v>
      </c>
      <c r="X32" s="10">
        <f t="shared" si="15"/>
        <v>-199.15800000000189</v>
      </c>
      <c r="Y32" s="10">
        <f t="shared" si="15"/>
        <v>1701.8630000000007</v>
      </c>
      <c r="Z32" s="10">
        <f t="shared" si="15"/>
        <v>1810.0940000000041</v>
      </c>
      <c r="AA32" s="10"/>
      <c r="AB32" s="10"/>
      <c r="AC32" s="10"/>
      <c r="AD32" s="23"/>
      <c r="AE32" s="23"/>
      <c r="AF32" s="23"/>
      <c r="AG32" s="23"/>
      <c r="AH32" s="23"/>
      <c r="AI32" s="23"/>
      <c r="AJ32" s="23"/>
      <c r="AK32" s="23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51"/>
    </row>
    <row r="33" spans="1:52" ht="11.25" customHeight="1" x14ac:dyDescent="0.25">
      <c r="A33" s="8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78"/>
      <c r="M33" s="78"/>
      <c r="N33" s="78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23"/>
      <c r="AE33" s="23"/>
      <c r="AF33" s="23"/>
      <c r="AG33" s="23"/>
      <c r="AH33" s="23"/>
      <c r="AI33" s="23"/>
      <c r="AJ33" s="23"/>
      <c r="AK33" s="23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51"/>
    </row>
    <row r="34" spans="1:52" s="1" customFormat="1" ht="13.5" x14ac:dyDescent="0.25">
      <c r="A34" s="1" t="s">
        <v>45</v>
      </c>
      <c r="B34" s="35">
        <f>B36-B32</f>
        <v>317.33100000000002</v>
      </c>
      <c r="C34" s="35">
        <f t="shared" ref="C34:S34" si="16">C36-C32</f>
        <v>-420.87200000000001</v>
      </c>
      <c r="D34" s="35">
        <f t="shared" si="16"/>
        <v>-267.70825037463385</v>
      </c>
      <c r="E34" s="35">
        <f t="shared" si="16"/>
        <v>-566.34030509457875</v>
      </c>
      <c r="F34" s="35">
        <f t="shared" si="16"/>
        <v>-181.37799999999987</v>
      </c>
      <c r="G34" s="35">
        <f t="shared" si="16"/>
        <v>-221.79599999999743</v>
      </c>
      <c r="H34" s="35">
        <f t="shared" si="16"/>
        <v>-117.62599999999509</v>
      </c>
      <c r="I34" s="35">
        <f t="shared" si="16"/>
        <v>20.385999999998702</v>
      </c>
      <c r="J34" s="35">
        <f t="shared" si="16"/>
        <v>16.712000000001822</v>
      </c>
      <c r="K34" s="35">
        <f t="shared" si="16"/>
        <v>-512.38600000000406</v>
      </c>
      <c r="L34" s="76">
        <f t="shared" si="16"/>
        <v>-201.49799999999948</v>
      </c>
      <c r="M34" s="76">
        <f t="shared" si="16"/>
        <v>98.782000000006406</v>
      </c>
      <c r="N34" s="76">
        <f t="shared" si="16"/>
        <v>-27.889999999995837</v>
      </c>
      <c r="O34" s="35">
        <f t="shared" si="16"/>
        <v>-26.157000000010839</v>
      </c>
      <c r="P34" s="35">
        <f t="shared" si="16"/>
        <v>33.118999999993036</v>
      </c>
      <c r="Q34" s="35">
        <f t="shared" si="16"/>
        <v>25.634000000002459</v>
      </c>
      <c r="R34" s="35">
        <f t="shared" si="16"/>
        <v>4.2340000000024247</v>
      </c>
      <c r="S34" s="35">
        <f t="shared" si="16"/>
        <v>410.62099999999418</v>
      </c>
      <c r="T34" s="35">
        <f>T36-T32</f>
        <v>12.55300000000608</v>
      </c>
      <c r="U34" s="35">
        <f>U36-U32</f>
        <v>-17.842000000003281</v>
      </c>
      <c r="V34" s="35">
        <f>V36-V32</f>
        <v>0.30799999999271677</v>
      </c>
      <c r="W34" s="35">
        <f t="shared" ref="W34" si="17">W36-W32</f>
        <v>-1070.2580000000016</v>
      </c>
      <c r="X34" s="35">
        <f>X36-X32</f>
        <v>45.701000000001898</v>
      </c>
      <c r="Y34" s="35">
        <f>Y36-Y32</f>
        <v>-186.79700000000071</v>
      </c>
      <c r="Z34" s="35">
        <f>Z36-Z32</f>
        <v>-233.36300000000392</v>
      </c>
      <c r="AA34" s="35"/>
      <c r="AB34" s="35"/>
      <c r="AC34" s="35"/>
      <c r="AD34" s="23"/>
      <c r="AE34" s="23"/>
      <c r="AF34" s="23"/>
      <c r="AG34" s="23"/>
      <c r="AH34" s="23"/>
      <c r="AI34" s="23"/>
      <c r="AJ34" s="23"/>
      <c r="AK34" s="23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51"/>
    </row>
    <row r="35" spans="1:52" ht="9" customHeight="1" x14ac:dyDescent="0.25">
      <c r="A35" s="8"/>
      <c r="B35" s="8"/>
      <c r="C35" s="8"/>
      <c r="D35" s="10"/>
      <c r="E35" s="10"/>
      <c r="F35" s="10"/>
      <c r="G35" s="10"/>
      <c r="H35" s="10"/>
      <c r="I35" s="10"/>
      <c r="J35" s="10"/>
      <c r="K35" s="10"/>
      <c r="L35" s="78"/>
      <c r="M35" s="78"/>
      <c r="N35" s="78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23"/>
      <c r="AE35" s="23"/>
      <c r="AF35" s="23"/>
      <c r="AG35" s="23"/>
      <c r="AH35" s="23"/>
      <c r="AI35" s="23"/>
      <c r="AJ35" s="23"/>
      <c r="AK35" s="23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51"/>
    </row>
    <row r="36" spans="1:52" ht="13.5" x14ac:dyDescent="0.25">
      <c r="A36" s="8" t="s">
        <v>46</v>
      </c>
      <c r="B36" s="10">
        <f>Kunnat!B36+Kuntayhtymät!B36</f>
        <v>-15.668999999999997</v>
      </c>
      <c r="C36" s="10">
        <f>Kunnat!C36+Kuntayhtymät!C36</f>
        <v>147.12799999999999</v>
      </c>
      <c r="D36" s="10">
        <f>Kunnat!D36+Kuntayhtymät!D36</f>
        <v>310.64999999999998</v>
      </c>
      <c r="E36" s="10">
        <f>Kunnat!E36+Kuntayhtymät!E36</f>
        <v>372.22300000000001</v>
      </c>
      <c r="F36" s="10">
        <f>Kunnat!F36+Kuntayhtymät!F36</f>
        <v>499.41699999999997</v>
      </c>
      <c r="G36" s="10">
        <f>Kunnat!G36+Kuntayhtymät!G36</f>
        <v>816.678</v>
      </c>
      <c r="H36" s="10">
        <f>Kunnat!H36+Kuntayhtymät!H36</f>
        <v>107.721</v>
      </c>
      <c r="I36" s="10">
        <f>Kunnat!I36+Kuntayhtymät!I36</f>
        <v>-85.206000000000003</v>
      </c>
      <c r="J36" s="10">
        <f>Kunnat!J36+Kuntayhtymät!J36</f>
        <v>21.646000000000001</v>
      </c>
      <c r="K36" s="10">
        <f>Kunnat!K36+Kuntayhtymät!K36</f>
        <v>571.43200000000002</v>
      </c>
      <c r="L36" s="78">
        <f>Kunnat!L36+Kuntayhtymät!L36</f>
        <v>580.47299999999996</v>
      </c>
      <c r="M36" s="78">
        <f>Kunnat!M36+Kuntayhtymät!M36</f>
        <v>817.16600000000005</v>
      </c>
      <c r="N36" s="78">
        <f>Kunnat!N36+Kuntayhtymät!N36</f>
        <v>401.67599999999999</v>
      </c>
      <c r="O36" s="10">
        <f>Kunnat!O36+Kuntayhtymät!O36</f>
        <v>1903.8390000000002</v>
      </c>
      <c r="P36" s="10">
        <f>Kunnat!P36+Kuntayhtymät!P36</f>
        <v>473.27699999999999</v>
      </c>
      <c r="Q36" s="10">
        <f>Kunnat!Q36+Kuntayhtymät!Q36</f>
        <v>-335.71800000000002</v>
      </c>
      <c r="R36" s="10">
        <f>Kunnat!R36+Kuntayhtymät!R36</f>
        <v>440.21400000000006</v>
      </c>
      <c r="S36" s="10">
        <f>Kunnat!S36+Kuntayhtymät!S36</f>
        <v>2549.8039999999996</v>
      </c>
      <c r="T36" s="10">
        <f>Kunnat!T36+Kuntayhtymät!T36</f>
        <v>371.42900000000003</v>
      </c>
      <c r="U36" s="10">
        <f>Kunnat!U36+Kuntayhtymät!U36</f>
        <v>1049.6580000000001</v>
      </c>
      <c r="V36" s="10">
        <f>Kunnat!V36+Kuntayhtymät!V36</f>
        <v>1273.922</v>
      </c>
      <c r="W36" s="10">
        <f>Kunnat!W36+Kuntayhtymät!W36</f>
        <v>59.501000000000005</v>
      </c>
      <c r="X36" s="10">
        <f>Kunnat!X36+Kuntayhtymät!X36</f>
        <v>-153.45699999999999</v>
      </c>
      <c r="Y36" s="10">
        <f>Kunnat!Y36+Kuntayhtymät!Y36</f>
        <v>1515.066</v>
      </c>
      <c r="Z36" s="10">
        <f>Kunnat!Z36+Kuntayhtymät!Z36</f>
        <v>1576.7310000000002</v>
      </c>
      <c r="AA36" s="10"/>
      <c r="AB36" s="10"/>
      <c r="AC36" s="10"/>
      <c r="AD36" s="23"/>
      <c r="AE36" s="23"/>
      <c r="AF36" s="23"/>
      <c r="AG36" s="23"/>
      <c r="AH36" s="23"/>
      <c r="AI36" s="23"/>
      <c r="AJ36" s="23"/>
      <c r="AK36" s="23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63"/>
    </row>
    <row r="37" spans="1:52" ht="16.5" x14ac:dyDescent="0.3">
      <c r="A37" s="4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95"/>
      <c r="M37" s="95"/>
      <c r="N37" s="95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D37" s="23"/>
      <c r="AE37" s="23"/>
      <c r="AF37" s="23"/>
      <c r="AG37" s="23"/>
      <c r="AH37" s="23"/>
      <c r="AI37" s="23"/>
      <c r="AJ37" s="23"/>
      <c r="AK37" s="23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51"/>
    </row>
    <row r="38" spans="1:52" ht="13.5" x14ac:dyDescent="0.25">
      <c r="A38" s="7"/>
      <c r="B38" s="7"/>
      <c r="C38" s="7"/>
      <c r="AD38" s="23"/>
      <c r="AE38" s="23"/>
      <c r="AF38" s="23"/>
      <c r="AG38" s="23"/>
      <c r="AH38" s="23"/>
      <c r="AI38" s="23"/>
      <c r="AJ38" s="23"/>
      <c r="AK38" s="23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51"/>
    </row>
    <row r="39" spans="1:52" ht="18" x14ac:dyDescent="0.25">
      <c r="A39" s="5" t="s">
        <v>55</v>
      </c>
      <c r="B39" s="5"/>
      <c r="C39" s="5"/>
      <c r="AD39" s="23"/>
      <c r="AE39" s="23"/>
      <c r="AF39" s="23"/>
      <c r="AG39" s="23"/>
      <c r="AH39" s="23"/>
      <c r="AI39" s="23"/>
      <c r="AJ39" s="23"/>
      <c r="AK39" s="23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51"/>
    </row>
    <row r="40" spans="1:52" ht="15" x14ac:dyDescent="0.25">
      <c r="A40" s="6" t="s">
        <v>47</v>
      </c>
      <c r="B40" s="6"/>
      <c r="C40" s="6"/>
      <c r="V40" s="1"/>
      <c r="W40" s="1"/>
      <c r="X40" s="1"/>
      <c r="Y40" s="1"/>
      <c r="Z40" s="1"/>
      <c r="AD40" s="23"/>
      <c r="AE40" s="23"/>
      <c r="AF40" s="23"/>
      <c r="AG40" s="23"/>
      <c r="AH40" s="23"/>
      <c r="AI40" s="23"/>
      <c r="AJ40" s="23"/>
      <c r="AK40" s="23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51"/>
    </row>
    <row r="41" spans="1:52" ht="6.75" customHeight="1" x14ac:dyDescent="0.25">
      <c r="AD41" s="23"/>
      <c r="AE41" s="23"/>
      <c r="AF41" s="23"/>
      <c r="AG41" s="23"/>
      <c r="AH41" s="23"/>
      <c r="AI41" s="23"/>
      <c r="AJ41" s="23"/>
      <c r="AK41" s="23"/>
      <c r="AL41" s="47"/>
      <c r="AM41" s="47"/>
      <c r="AN41" s="47"/>
      <c r="AO41" s="47"/>
      <c r="AP41" s="47"/>
      <c r="AQ41" s="52"/>
      <c r="AR41" s="52"/>
      <c r="AS41" s="52"/>
      <c r="AT41" s="52"/>
      <c r="AU41" s="52"/>
      <c r="AV41" s="52"/>
      <c r="AW41" s="52"/>
      <c r="AX41" s="52"/>
      <c r="AY41" s="52"/>
      <c r="AZ41" s="51"/>
    </row>
    <row r="42" spans="1:52" ht="13.5" x14ac:dyDescent="0.25">
      <c r="A42" s="8" t="s">
        <v>18</v>
      </c>
      <c r="B42" s="12">
        <v>1997</v>
      </c>
      <c r="C42" s="12">
        <v>1998</v>
      </c>
      <c r="D42" s="12">
        <v>1999</v>
      </c>
      <c r="E42" s="12">
        <v>2000</v>
      </c>
      <c r="F42" s="12">
        <v>2001</v>
      </c>
      <c r="G42" s="12">
        <v>2002</v>
      </c>
      <c r="H42" s="12">
        <v>2003</v>
      </c>
      <c r="I42" s="12">
        <v>2004</v>
      </c>
      <c r="J42" s="12">
        <v>2005</v>
      </c>
      <c r="K42" s="12">
        <v>2006</v>
      </c>
      <c r="L42" s="74">
        <v>2007</v>
      </c>
      <c r="M42" s="74">
        <v>2008</v>
      </c>
      <c r="N42" s="74">
        <v>2009</v>
      </c>
      <c r="O42" s="12">
        <v>2010</v>
      </c>
      <c r="P42" s="12">
        <v>2011</v>
      </c>
      <c r="Q42" s="12">
        <v>2012</v>
      </c>
      <c r="R42" s="12">
        <v>2013</v>
      </c>
      <c r="S42" s="12">
        <v>2014</v>
      </c>
      <c r="T42" s="12">
        <v>2015</v>
      </c>
      <c r="U42" s="12">
        <v>2016</v>
      </c>
      <c r="V42" s="12">
        <v>2017</v>
      </c>
      <c r="W42" s="12">
        <v>2018</v>
      </c>
      <c r="X42" s="12">
        <v>2019</v>
      </c>
      <c r="Y42" s="12">
        <v>2020</v>
      </c>
      <c r="Z42" s="12">
        <v>2021</v>
      </c>
      <c r="AA42" s="12">
        <v>2020</v>
      </c>
      <c r="AB42" s="19" t="s">
        <v>32</v>
      </c>
      <c r="AC42" s="45"/>
      <c r="AD42" s="40"/>
      <c r="AE42" s="40"/>
      <c r="AF42" s="40"/>
      <c r="AG42" s="40"/>
      <c r="AH42" s="40"/>
      <c r="AI42" s="40"/>
      <c r="AJ42" s="40"/>
      <c r="AL42" s="53" t="s">
        <v>32</v>
      </c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5"/>
    </row>
    <row r="43" spans="1:52" ht="13.5" x14ac:dyDescent="0.25">
      <c r="A43" s="1"/>
      <c r="B43" s="1"/>
      <c r="C43" s="1"/>
      <c r="D43" s="12"/>
      <c r="E43" s="12"/>
      <c r="F43" s="12"/>
      <c r="G43" s="12"/>
      <c r="H43" s="12"/>
      <c r="I43" s="12"/>
      <c r="J43" s="12"/>
      <c r="K43" s="12"/>
      <c r="L43" s="74"/>
      <c r="M43" s="74"/>
      <c r="N43" s="74"/>
      <c r="O43" s="12"/>
      <c r="P43" s="12"/>
      <c r="Q43" s="12"/>
      <c r="R43" s="12"/>
      <c r="AA43" s="12"/>
      <c r="AB43" s="22">
        <v>1998</v>
      </c>
      <c r="AC43" s="22">
        <v>1999</v>
      </c>
      <c r="AD43" s="22">
        <v>2000</v>
      </c>
      <c r="AE43" s="22">
        <v>2001</v>
      </c>
      <c r="AF43" s="22">
        <v>2002</v>
      </c>
      <c r="AG43" s="22">
        <v>2003</v>
      </c>
      <c r="AH43" s="22">
        <v>2004</v>
      </c>
      <c r="AI43" s="22">
        <v>2005</v>
      </c>
      <c r="AJ43" s="22">
        <v>2006</v>
      </c>
      <c r="AK43" s="22">
        <v>2007</v>
      </c>
      <c r="AL43" s="59">
        <v>2008</v>
      </c>
      <c r="AM43" s="59">
        <v>2009</v>
      </c>
      <c r="AN43" s="59">
        <v>2010</v>
      </c>
      <c r="AO43" s="59">
        <v>2011</v>
      </c>
      <c r="AP43" s="59">
        <v>2012</v>
      </c>
      <c r="AQ43" s="59">
        <v>2013</v>
      </c>
      <c r="AR43" s="59">
        <v>2014</v>
      </c>
      <c r="AS43" s="59">
        <v>2015</v>
      </c>
      <c r="AT43" s="59">
        <v>2016</v>
      </c>
      <c r="AU43" s="59">
        <v>2017</v>
      </c>
      <c r="AV43" s="59">
        <v>2018</v>
      </c>
      <c r="AW43" s="59">
        <v>2019</v>
      </c>
      <c r="AX43" s="59">
        <v>2020</v>
      </c>
      <c r="AY43" s="59">
        <v>2021</v>
      </c>
      <c r="AZ43" s="46" t="s">
        <v>49</v>
      </c>
    </row>
    <row r="44" spans="1:52" ht="12.75" customHeight="1" x14ac:dyDescent="0.25">
      <c r="A44" s="1"/>
      <c r="B44" s="1"/>
      <c r="C44" s="1"/>
      <c r="AD44" s="23"/>
      <c r="AE44" s="23"/>
      <c r="AF44" s="23"/>
      <c r="AG44" s="23"/>
      <c r="AH44" s="23"/>
      <c r="AI44" s="23"/>
      <c r="AJ44" s="23"/>
      <c r="AK44" s="23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8" t="s">
        <v>33</v>
      </c>
    </row>
    <row r="45" spans="1:52" ht="14.25" customHeight="1" x14ac:dyDescent="0.25">
      <c r="A45" s="8" t="s">
        <v>37</v>
      </c>
      <c r="B45" s="8"/>
      <c r="C45" s="8"/>
      <c r="AD45" s="23"/>
      <c r="AE45" s="23"/>
      <c r="AF45" s="23"/>
      <c r="AG45" s="23"/>
      <c r="AH45" s="23"/>
      <c r="AI45" s="23"/>
      <c r="AJ45" s="23"/>
      <c r="AK45" s="23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51"/>
    </row>
    <row r="46" spans="1:52" ht="15" customHeight="1" x14ac:dyDescent="0.25">
      <c r="A46" s="1" t="s">
        <v>19</v>
      </c>
      <c r="B46" s="35">
        <f>B26</f>
        <v>1249</v>
      </c>
      <c r="C46" s="35">
        <f>C26</f>
        <v>1492</v>
      </c>
      <c r="D46" s="3">
        <f t="shared" ref="D46:I46" si="18">D26</f>
        <v>1582.4944960501016</v>
      </c>
      <c r="E46" s="3">
        <f t="shared" si="18"/>
        <v>1698.0993082430568</v>
      </c>
      <c r="F46" s="3">
        <f t="shared" si="18"/>
        <v>1952.6889999999999</v>
      </c>
      <c r="G46" s="3">
        <f t="shared" si="18"/>
        <v>2262.5569999999975</v>
      </c>
      <c r="H46" s="3">
        <f t="shared" si="18"/>
        <v>1584.2379999999953</v>
      </c>
      <c r="I46" s="3">
        <f t="shared" si="18"/>
        <v>1439.8240000000014</v>
      </c>
      <c r="J46" s="3">
        <v>1476.7819999999981</v>
      </c>
      <c r="K46" s="3">
        <v>2104.3050000000039</v>
      </c>
      <c r="L46" s="76">
        <v>2387.2129999999993</v>
      </c>
      <c r="M46" s="76">
        <v>2400.8499999999935</v>
      </c>
      <c r="N46" s="76">
        <v>2306.0729999999958</v>
      </c>
      <c r="O46" s="3">
        <v>3025.4940000000111</v>
      </c>
      <c r="P46" s="3">
        <v>2547.6500000000069</v>
      </c>
      <c r="Q46" s="3">
        <v>1791.4569999999976</v>
      </c>
      <c r="R46" s="3">
        <v>2693.1899999999978</v>
      </c>
      <c r="S46" s="3">
        <f>S26</f>
        <v>2843.7970000000055</v>
      </c>
      <c r="T46" s="3">
        <f>T26</f>
        <v>2680.6209999999942</v>
      </c>
      <c r="U46" s="3">
        <f>U26</f>
        <v>3400.0870000000036</v>
      </c>
      <c r="V46" s="3">
        <f>V26</f>
        <v>3940.2960000000076</v>
      </c>
      <c r="W46" s="3">
        <f t="shared" ref="W46:Z46" si="19">W26</f>
        <v>3865.8140000000017</v>
      </c>
      <c r="X46" s="3">
        <f t="shared" si="19"/>
        <v>2329.3409999999981</v>
      </c>
      <c r="Y46" s="3">
        <f t="shared" si="19"/>
        <v>4694.0960000000005</v>
      </c>
      <c r="Z46" s="3">
        <f t="shared" si="19"/>
        <v>4770.350000000004</v>
      </c>
      <c r="AA46" s="3"/>
      <c r="AB46" s="3"/>
      <c r="AC46" s="3"/>
      <c r="AD46" s="23"/>
      <c r="AE46" s="23"/>
      <c r="AF46" s="23"/>
      <c r="AG46" s="23"/>
      <c r="AH46" s="23"/>
      <c r="AI46" s="23"/>
      <c r="AJ46" s="23"/>
      <c r="AK46" s="23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51"/>
    </row>
    <row r="47" spans="1:52" ht="15" customHeight="1" x14ac:dyDescent="0.25">
      <c r="A47" s="1" t="s">
        <v>20</v>
      </c>
      <c r="B47" s="35">
        <f>B29+B30</f>
        <v>-366</v>
      </c>
      <c r="C47" s="35">
        <f>C29+C30</f>
        <v>350</v>
      </c>
      <c r="D47" s="3">
        <f>Kunnat!D47+Kuntayhtymät!D47</f>
        <v>360.65209822847658</v>
      </c>
      <c r="E47" s="3">
        <f>Kunnat!E47+Kuntayhtymät!E47</f>
        <v>661.51742511012094</v>
      </c>
      <c r="F47" s="3">
        <f>Kunnat!F47+Kuntayhtymät!F47</f>
        <v>179.08799999999999</v>
      </c>
      <c r="G47" s="3">
        <f>Kunnat!G47+Kuntayhtymät!G47</f>
        <v>334.75599999999997</v>
      </c>
      <c r="H47" s="3">
        <f>Kunnat!H47+Kuntayhtymät!H47</f>
        <v>251.822</v>
      </c>
      <c r="I47" s="3">
        <f>Kunnat!I47+Kuntayhtymät!I47</f>
        <v>147.078</v>
      </c>
      <c r="J47" s="3">
        <v>285.01100000000002</v>
      </c>
      <c r="K47" s="3">
        <v>761.19999999999993</v>
      </c>
      <c r="L47" s="76">
        <v>233.71599999999998</v>
      </c>
      <c r="M47" s="76">
        <v>261.10000000000002</v>
      </c>
      <c r="N47" s="76">
        <v>159.726</v>
      </c>
      <c r="O47" s="3">
        <v>1060.44</v>
      </c>
      <c r="P47" s="3">
        <v>121.74</v>
      </c>
      <c r="Q47" s="3">
        <v>248.792</v>
      </c>
      <c r="R47" s="3">
        <v>367.93</v>
      </c>
      <c r="S47" s="3">
        <f>S29+S30</f>
        <v>1922.2780000000002</v>
      </c>
      <c r="T47" s="3">
        <f>T29+T30</f>
        <v>332.61099999999999</v>
      </c>
      <c r="U47" s="3">
        <f>U29+U30</f>
        <v>376.02499999999998</v>
      </c>
      <c r="V47" s="3">
        <f>V29+V30</f>
        <v>137.654</v>
      </c>
      <c r="W47" s="3">
        <f t="shared" ref="W47:Z47" si="20">W29+W30</f>
        <v>72.093000000000004</v>
      </c>
      <c r="X47" s="3">
        <f t="shared" si="20"/>
        <v>400.14799999999997</v>
      </c>
      <c r="Y47" s="3">
        <f t="shared" si="20"/>
        <v>85.349000000000004</v>
      </c>
      <c r="Z47" s="3">
        <f t="shared" si="20"/>
        <v>128.18099999999998</v>
      </c>
      <c r="AA47" s="3"/>
      <c r="AB47" s="3"/>
      <c r="AC47" s="3"/>
      <c r="AD47" s="23"/>
      <c r="AE47" s="23"/>
      <c r="AF47" s="23"/>
      <c r="AG47" s="23"/>
      <c r="AH47" s="23"/>
      <c r="AI47" s="23"/>
      <c r="AJ47" s="23"/>
      <c r="AK47" s="23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51"/>
    </row>
    <row r="48" spans="1:52" ht="15" customHeight="1" x14ac:dyDescent="0.25">
      <c r="A48" s="1" t="s">
        <v>21</v>
      </c>
      <c r="B48" s="35">
        <v>-46</v>
      </c>
      <c r="C48" s="35">
        <v>-301</v>
      </c>
      <c r="D48" s="3">
        <f>Kunnat!D48+Kuntayhtymät!D48</f>
        <v>-476.23252317209159</v>
      </c>
      <c r="E48" s="3">
        <f>Kunnat!E48+Kuntayhtymät!E48</f>
        <v>-717.59413898713854</v>
      </c>
      <c r="F48" s="3">
        <f>Kunnat!F48+Kuntayhtymät!F48</f>
        <v>-271.11200000000002</v>
      </c>
      <c r="G48" s="3">
        <f>Kunnat!G48+Kuntayhtymät!G48</f>
        <v>-464.65199999999999</v>
      </c>
      <c r="H48" s="3">
        <f>Kunnat!H48+Kuntayhtymät!H48</f>
        <v>-442.88400000000001</v>
      </c>
      <c r="I48" s="3">
        <f>Kunnat!I48+Kuntayhtymät!I48</f>
        <v>-374.33099999999996</v>
      </c>
      <c r="J48" s="3">
        <v>-603.62600000000009</v>
      </c>
      <c r="K48" s="3">
        <v>-996.65300000000002</v>
      </c>
      <c r="L48" s="76">
        <v>-531.17100000000005</v>
      </c>
      <c r="M48" s="76">
        <v>-532.84799999999996</v>
      </c>
      <c r="N48" s="76">
        <v>-387.21499999999997</v>
      </c>
      <c r="O48" s="3">
        <v>-1382.7719999999999</v>
      </c>
      <c r="P48" s="3">
        <v>-456.21899999999999</v>
      </c>
      <c r="Q48" s="3">
        <v>-547.13800000000003</v>
      </c>
      <c r="R48" s="3">
        <v>-621.41999999999996</v>
      </c>
      <c r="S48" s="3">
        <f>Kunnat!S48+Kuntayhtymät!S48</f>
        <v>-2548.6909999999998</v>
      </c>
      <c r="T48" s="3">
        <f>Kunnat!T48+Kuntayhtymät!T48</f>
        <v>-606.31600000000003</v>
      </c>
      <c r="U48" s="3">
        <f>Kunnat!U48+Kuntayhtymät!U48</f>
        <v>-622.22799999999995</v>
      </c>
      <c r="V48" s="3">
        <f>Kunnat!V48+Kuntayhtymät!V48</f>
        <v>-524.72799999999995</v>
      </c>
      <c r="W48" s="3">
        <f>Kunnat!W48+Kuntayhtymät!W48</f>
        <v>-573.15100000000007</v>
      </c>
      <c r="X48" s="3">
        <f>Kunnat!X48+Kuntayhtymät!X48</f>
        <v>-894.12699999999995</v>
      </c>
      <c r="Y48" s="3">
        <f>Kunnat!Y48+Kuntayhtymät!Y48</f>
        <v>-483.154</v>
      </c>
      <c r="Z48" s="3">
        <f>Kunnat!Z48+Kuntayhtymät!Z48</f>
        <v>-733.39800000000002</v>
      </c>
      <c r="AA48" s="3"/>
      <c r="AB48" s="3"/>
      <c r="AC48" s="3"/>
      <c r="AD48" s="23"/>
      <c r="AE48" s="23"/>
      <c r="AF48" s="23"/>
      <c r="AG48" s="23"/>
      <c r="AH48" s="23"/>
      <c r="AI48" s="23"/>
      <c r="AJ48" s="23"/>
      <c r="AK48" s="23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51"/>
    </row>
    <row r="49" spans="1:52" ht="14.25" customHeight="1" x14ac:dyDescent="0.3">
      <c r="A49" s="8" t="s">
        <v>38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95"/>
      <c r="M49" s="95"/>
      <c r="N49" s="9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D49" s="23"/>
      <c r="AE49" s="23"/>
      <c r="AF49" s="23"/>
      <c r="AG49" s="23"/>
      <c r="AH49" s="23"/>
      <c r="AI49" s="23"/>
      <c r="AJ49" s="23"/>
      <c r="AK49" s="23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51"/>
    </row>
    <row r="50" spans="1:52" ht="15.75" customHeight="1" x14ac:dyDescent="0.25">
      <c r="A50" s="1" t="s">
        <v>34</v>
      </c>
      <c r="B50" s="35">
        <v>-2278</v>
      </c>
      <c r="C50" s="35">
        <v>-2496</v>
      </c>
      <c r="D50" s="3">
        <f>Kunnat!D50+Kuntayhtymät!D50+93.397</f>
        <v>-2327.9517324163721</v>
      </c>
      <c r="E50" s="3">
        <f>Kunnat!E50+Kuntayhtymät!E50+60.705</f>
        <v>-2845.4910339066855</v>
      </c>
      <c r="F50" s="3">
        <f>Kunnat!F50+Kuntayhtymät!F50+41.929</f>
        <v>-3036.5129999999995</v>
      </c>
      <c r="G50" s="3">
        <f>Kunnat!G50+Kuntayhtymät!G50+21.004</f>
        <v>-2999.915</v>
      </c>
      <c r="H50" s="3">
        <f>Kunnat!H50+Kuntayhtymät!H50+5.556</f>
        <v>-3195.096</v>
      </c>
      <c r="I50" s="3">
        <f>Kunnat!I50+Kuntayhtymät!I50+15.537</f>
        <v>-3292.7180000000003</v>
      </c>
      <c r="J50" s="3">
        <v>-3231.2579999999998</v>
      </c>
      <c r="K50" s="3">
        <v>-3553.9010000000003</v>
      </c>
      <c r="L50" s="76">
        <v>-3785.5610000000001</v>
      </c>
      <c r="M50" s="76">
        <v>-4128.75</v>
      </c>
      <c r="N50" s="76">
        <v>-3986.337</v>
      </c>
      <c r="O50" s="3">
        <v>-5686.3339999999998</v>
      </c>
      <c r="P50" s="3">
        <v>-4313.4660000000003</v>
      </c>
      <c r="Q50" s="3">
        <v>-4594.1019999999999</v>
      </c>
      <c r="R50" s="3">
        <v>-4701.1900000000005</v>
      </c>
      <c r="S50" s="3">
        <f>Kunnat!S50+Kuntayhtymät!S50</f>
        <v>-7602.1680000000006</v>
      </c>
      <c r="T50" s="3">
        <f>Kunnat!T50+Kuntayhtymät!T50</f>
        <v>-4401.9870000000001</v>
      </c>
      <c r="U50" s="3">
        <f>Kunnat!U50+Kuntayhtymät!U50</f>
        <v>-4332.7420000000002</v>
      </c>
      <c r="V50" s="3">
        <f>Kunnat!V50+Kuntayhtymät!V50</f>
        <v>-4620.8540000000003</v>
      </c>
      <c r="W50" s="3">
        <f>Kunnat!W50+Kuntayhtymät!W50</f>
        <v>-4830.415</v>
      </c>
      <c r="X50" s="3">
        <f>Kunnat!X50+Kuntayhtymät!X50</f>
        <v>-5398.3540000000003</v>
      </c>
      <c r="Y50" s="3">
        <f>Kunnat!Y50+Kuntayhtymät!Y50</f>
        <v>-5761.0150000000003</v>
      </c>
      <c r="Z50" s="3">
        <f>Kunnat!Z50+Kuntayhtymät!Z50</f>
        <v>-5333.49</v>
      </c>
      <c r="AA50" s="3"/>
      <c r="AB50" s="18">
        <f>100*(C50-B50)/B50</f>
        <v>9.5697980684811235</v>
      </c>
      <c r="AC50" s="18">
        <f>100*(D50-C50)/C50</f>
        <v>-6.7327030281902198</v>
      </c>
      <c r="AD50" s="18">
        <f>100*(E50-D50)/D50</f>
        <v>22.23153058904348</v>
      </c>
      <c r="AE50" s="18">
        <f>100*(F50-E50)/E50</f>
        <v>6.713145949753792</v>
      </c>
      <c r="AF50" s="18">
        <f>100*(G50-F50)/F50</f>
        <v>-1.2052640644054384</v>
      </c>
      <c r="AG50" s="18">
        <f>100*(H50-G50)/G50</f>
        <v>6.506217676167493</v>
      </c>
      <c r="AH50" s="18">
        <f>100*(I50-H50)/H50</f>
        <v>3.0553698543017269</v>
      </c>
      <c r="AI50" s="18">
        <f>100*(J50-I50)/I50</f>
        <v>-1.8665430808226058</v>
      </c>
      <c r="AJ50" s="18">
        <f>100*(K50-J50)/J50</f>
        <v>9.98505845091913</v>
      </c>
      <c r="AK50" s="18">
        <f>100*(L50-K50)/K50</f>
        <v>6.518470829660135</v>
      </c>
      <c r="AL50" s="49">
        <f>100*(M50-L50)/L50</f>
        <v>9.0657368881389004</v>
      </c>
      <c r="AM50" s="49">
        <f>100*(N50-M50)/M50</f>
        <v>-3.4493006357856495</v>
      </c>
      <c r="AN50" s="49">
        <f>100*(O50-N50)/N50</f>
        <v>42.645591679780203</v>
      </c>
      <c r="AO50" s="49">
        <f>100*(P50-O50)/O50</f>
        <v>-24.143288100909999</v>
      </c>
      <c r="AP50" s="49">
        <f>100*(Q50-P50)/P50</f>
        <v>6.5060440953979812</v>
      </c>
      <c r="AQ50" s="49">
        <f>100*(R50-Q50)/Q50</f>
        <v>2.3309887329449945</v>
      </c>
      <c r="AR50" s="49">
        <f>100*(S50-R50)/R50</f>
        <v>61.707312403880714</v>
      </c>
      <c r="AS50" s="49">
        <f>100*(T50-S50)/S50</f>
        <v>-42.095636402668291</v>
      </c>
      <c r="AT50" s="49">
        <f>100*(U50-T50)/T50</f>
        <v>-1.5730396296036289</v>
      </c>
      <c r="AU50" s="49">
        <f>100*(V50-U50)/U50</f>
        <v>6.6496458824458058</v>
      </c>
      <c r="AV50" s="49">
        <f t="shared" ref="AV50" si="21">100*(W50-V50)/V50</f>
        <v>4.535114071987552</v>
      </c>
      <c r="AW50" s="49">
        <f>100*(X50-W50)/W50</f>
        <v>11.757561203333468</v>
      </c>
      <c r="AX50" s="49">
        <f>100*(Y50-X50)/X50</f>
        <v>6.7179921879891547</v>
      </c>
      <c r="AY50" s="49">
        <f>100*(Z50-Y50)/Y50</f>
        <v>-7.4210013339663332</v>
      </c>
      <c r="AZ50" s="50">
        <f>100*(EXP(LN(Z50/O50)/11)-1)</f>
        <v>-0.58067068137912514</v>
      </c>
    </row>
    <row r="51" spans="1:52" ht="15.75" customHeight="1" x14ac:dyDescent="0.25">
      <c r="A51" s="1" t="s">
        <v>35</v>
      </c>
      <c r="B51" s="35">
        <v>282</v>
      </c>
      <c r="C51" s="35">
        <v>344</v>
      </c>
      <c r="D51" s="3">
        <f>Kunnat!D51+Kuntayhtymät!D51</f>
        <v>305.95566882283583</v>
      </c>
      <c r="E51" s="3">
        <f>Kunnat!E51+Kuntayhtymät!E51</f>
        <v>225.37001254345557</v>
      </c>
      <c r="F51" s="3">
        <f>Kunnat!F51+Kuntayhtymät!F51</f>
        <v>207.15800000000002</v>
      </c>
      <c r="G51" s="3">
        <f>Kunnat!G51+Kuntayhtymät!G51</f>
        <v>178.072</v>
      </c>
      <c r="H51" s="3">
        <f>Kunnat!H51+Kuntayhtymät!H51</f>
        <v>195.226</v>
      </c>
      <c r="I51" s="3">
        <f>Kunnat!I51+Kuntayhtymät!I51</f>
        <v>211.047</v>
      </c>
      <c r="J51" s="3">
        <v>214.084</v>
      </c>
      <c r="K51" s="3">
        <v>197.29599999999999</v>
      </c>
      <c r="L51" s="76">
        <v>228.34</v>
      </c>
      <c r="M51" s="76">
        <v>208.048</v>
      </c>
      <c r="N51" s="76">
        <v>238.4</v>
      </c>
      <c r="O51" s="3">
        <v>260.58300000000003</v>
      </c>
      <c r="P51" s="3">
        <v>245.11700000000002</v>
      </c>
      <c r="Q51" s="3">
        <v>209.93700000000001</v>
      </c>
      <c r="R51" s="3">
        <v>229.88</v>
      </c>
      <c r="S51" s="3">
        <f>Kunnat!S51+Kuntayhtymät!S51</f>
        <v>242.066</v>
      </c>
      <c r="T51" s="3">
        <f>Kunnat!T51+Kuntayhtymät!T51</f>
        <v>207.35300000000001</v>
      </c>
      <c r="U51" s="3">
        <f>Kunnat!U51+Kuntayhtymät!U51</f>
        <v>152.565</v>
      </c>
      <c r="V51" s="3">
        <f>Kunnat!V51+Kuntayhtymät!V51</f>
        <v>154.44499999999999</v>
      </c>
      <c r="W51" s="3">
        <f>Kunnat!W51+Kuntayhtymät!W51</f>
        <v>136.947</v>
      </c>
      <c r="X51" s="3">
        <f>Kunnat!X51+Kuntayhtymät!X51</f>
        <v>160.86000000000001</v>
      </c>
      <c r="Y51" s="3">
        <f>Kunnat!Y51+Kuntayhtymät!Y51</f>
        <v>213.60299999999998</v>
      </c>
      <c r="Z51" s="3">
        <f>Kunnat!Z51+Kuntayhtymät!Z51</f>
        <v>163.815</v>
      </c>
      <c r="AA51" s="3"/>
      <c r="AB51" s="3"/>
      <c r="AC51" s="3"/>
      <c r="AD51" s="18"/>
      <c r="AE51" s="18"/>
      <c r="AF51" s="18"/>
      <c r="AG51" s="18"/>
      <c r="AH51" s="18"/>
      <c r="AI51" s="18"/>
      <c r="AJ51" s="18"/>
      <c r="AK51" s="18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50"/>
    </row>
    <row r="52" spans="1:52" ht="15.75" customHeight="1" x14ac:dyDescent="0.25">
      <c r="A52" s="1" t="s">
        <v>44</v>
      </c>
      <c r="B52" s="36">
        <v>287</v>
      </c>
      <c r="C52" s="36">
        <v>460</v>
      </c>
      <c r="D52" s="15">
        <f>Kunnat!D52+Kuntayhtymät!D52</f>
        <v>688.61132274758529</v>
      </c>
      <c r="E52" s="15">
        <f>Kunnat!E52+Kuntayhtymät!E52</f>
        <v>944.97546979092544</v>
      </c>
      <c r="F52" s="15">
        <f>Kunnat!F52+Kuntayhtymät!F52</f>
        <v>492.01499999999999</v>
      </c>
      <c r="G52" s="15">
        <f>Kunnat!G52+Kuntayhtymät!G52</f>
        <v>713.125</v>
      </c>
      <c r="H52" s="15">
        <f>Kunnat!H52+Kuntayhtymät!H52</f>
        <v>671.81299999999999</v>
      </c>
      <c r="I52" s="15">
        <f>Kunnat!I52+Kuntayhtymät!I52</f>
        <v>630.346</v>
      </c>
      <c r="J52" s="15">
        <v>920.971</v>
      </c>
      <c r="K52" s="15">
        <v>1580.8409999999999</v>
      </c>
      <c r="L52" s="79">
        <v>877.03899999999999</v>
      </c>
      <c r="M52" s="79">
        <v>914.4</v>
      </c>
      <c r="N52" s="79">
        <v>668.87300000000005</v>
      </c>
      <c r="O52" s="15">
        <v>2408.5509999999999</v>
      </c>
      <c r="P52" s="15">
        <v>741.60900000000004</v>
      </c>
      <c r="Q52" s="15">
        <v>911.53099999999995</v>
      </c>
      <c r="R52" s="15">
        <v>945.48</v>
      </c>
      <c r="S52" s="3">
        <f>Kunnat!S52+Kuntayhtymät!S52-8</f>
        <v>5014.232</v>
      </c>
      <c r="T52" s="3">
        <f>Kunnat!T52+Kuntayhtymät!T52-10</f>
        <v>952.28100000000006</v>
      </c>
      <c r="U52" s="3">
        <f>Kunnat!U52+Kuntayhtymät!U52-24.42</f>
        <v>904.72600000000011</v>
      </c>
      <c r="V52" s="3">
        <f>Kunnat!V52+Kuntayhtymät!V52</f>
        <v>1034.364</v>
      </c>
      <c r="W52" s="3">
        <f>Kunnat!W52+Kuntayhtymät!W52</f>
        <v>871.94500000000005</v>
      </c>
      <c r="X52" s="3">
        <f>Kunnat!X52+Kuntayhtymät!X52</f>
        <v>1208.751</v>
      </c>
      <c r="Y52" s="3">
        <f>Kunnat!Y52+Kuntayhtymät!Y52</f>
        <v>848.23699999999997</v>
      </c>
      <c r="Z52" s="3">
        <f>Kunnat!Z52+Kuntayhtymät!Z52</f>
        <v>1076.201</v>
      </c>
      <c r="AA52" s="16"/>
      <c r="AB52" s="16"/>
      <c r="AC52" s="16"/>
      <c r="AD52" s="18"/>
      <c r="AE52" s="18"/>
      <c r="AF52" s="18"/>
      <c r="AG52" s="18"/>
      <c r="AH52" s="18"/>
      <c r="AI52" s="18"/>
      <c r="AJ52" s="18"/>
      <c r="AK52" s="18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50"/>
    </row>
    <row r="53" spans="1:52" s="37" customFormat="1" ht="17.25" customHeight="1" x14ac:dyDescent="0.25">
      <c r="A53" s="37" t="s">
        <v>39</v>
      </c>
      <c r="B53" s="38">
        <f>B46+B47+B48+B50+B51+B52</f>
        <v>-872</v>
      </c>
      <c r="C53" s="38">
        <f>C46+C47+C48+C50+C51+C52</f>
        <v>-151</v>
      </c>
      <c r="D53" s="38">
        <f t="shared" ref="D53:I53" si="22">D46+D47+D48+D50+D51+D52</f>
        <v>133.52933026053552</v>
      </c>
      <c r="E53" s="38">
        <f t="shared" si="22"/>
        <v>-33.122957206265596</v>
      </c>
      <c r="F53" s="38">
        <f t="shared" si="22"/>
        <v>-476.6749999999995</v>
      </c>
      <c r="G53" s="38">
        <f t="shared" si="22"/>
        <v>23.942999999997369</v>
      </c>
      <c r="H53" s="38">
        <f t="shared" si="22"/>
        <v>-934.88100000000452</v>
      </c>
      <c r="I53" s="38">
        <f t="shared" si="22"/>
        <v>-1238.753999999999</v>
      </c>
      <c r="J53" s="38">
        <v>-938.03600000000165</v>
      </c>
      <c r="K53" s="38">
        <v>93.088000000003376</v>
      </c>
      <c r="L53" s="76">
        <v>-590.42400000000134</v>
      </c>
      <c r="M53" s="76">
        <v>-877.20000000000653</v>
      </c>
      <c r="N53" s="76">
        <v>-1000.4800000000041</v>
      </c>
      <c r="O53" s="38">
        <v>-314.03799999998864</v>
      </c>
      <c r="P53" s="38">
        <v>-1113.5689999999936</v>
      </c>
      <c r="Q53" s="38">
        <v>-1979.5230000000024</v>
      </c>
      <c r="R53" s="38">
        <v>-1086.1300000000028</v>
      </c>
      <c r="S53" s="44">
        <f>S46+S47+S48+S50+S51+S52</f>
        <v>-128.48599999999442</v>
      </c>
      <c r="T53" s="44">
        <f>T46+T47+T48+T50+T51+T52</f>
        <v>-835.43700000000615</v>
      </c>
      <c r="U53" s="44">
        <f>U46+U47+U48+U50+U51+U52</f>
        <v>-121.56699999999637</v>
      </c>
      <c r="V53" s="44">
        <f>V46+V47+V48+V50+V51+V52</f>
        <v>121.17700000000718</v>
      </c>
      <c r="W53" s="44">
        <f t="shared" ref="W53:Y53" si="23">W46+W47+W48+W50+W51+W52</f>
        <v>-456.76699999999857</v>
      </c>
      <c r="X53" s="44">
        <f t="shared" si="23"/>
        <v>-2193.3810000000021</v>
      </c>
      <c r="Y53" s="44">
        <f t="shared" si="23"/>
        <v>-402.88399999999922</v>
      </c>
      <c r="Z53" s="44">
        <f t="shared" ref="Z53" si="24">Z46+Z47+Z48+Z50+Z51+Z52</f>
        <v>71.659000000003743</v>
      </c>
      <c r="AA53" s="38"/>
      <c r="AB53" s="38"/>
      <c r="AC53" s="38"/>
      <c r="AD53" s="39"/>
      <c r="AE53" s="39"/>
      <c r="AF53" s="39"/>
      <c r="AG53" s="39"/>
      <c r="AH53" s="39"/>
      <c r="AI53" s="39"/>
      <c r="AJ53" s="39"/>
      <c r="AK53" s="39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0"/>
    </row>
    <row r="54" spans="1:52" ht="9" customHeight="1" x14ac:dyDescent="0.25">
      <c r="A54" s="1"/>
      <c r="B54" s="35"/>
      <c r="C54" s="35"/>
      <c r="AD54" s="23"/>
      <c r="AE54" s="23"/>
      <c r="AF54" s="23"/>
      <c r="AG54" s="23"/>
      <c r="AH54" s="23"/>
      <c r="AI54" s="23"/>
      <c r="AJ54" s="23"/>
      <c r="AK54" s="23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50"/>
    </row>
    <row r="55" spans="1:52" ht="14.25" customHeight="1" x14ac:dyDescent="0.3">
      <c r="A55" s="8" t="s">
        <v>40</v>
      </c>
      <c r="B55" s="34">
        <v>-151.07850507843403</v>
      </c>
      <c r="C55" s="34">
        <v>-872.22258662939623</v>
      </c>
      <c r="D55" s="33">
        <v>133.52933026053552</v>
      </c>
      <c r="E55" s="33">
        <v>-33.122957206265596</v>
      </c>
      <c r="F55" s="33">
        <v>-476.6749999999995</v>
      </c>
      <c r="G55" s="33">
        <v>23.942999999997369</v>
      </c>
      <c r="H55" s="33">
        <v>-934.88100000000452</v>
      </c>
      <c r="I55" s="33">
        <v>-1238.753999999999</v>
      </c>
      <c r="J55" s="33">
        <v>-938.03600000000165</v>
      </c>
      <c r="K55" s="33">
        <v>93.088000000003376</v>
      </c>
      <c r="L55" s="95"/>
      <c r="M55" s="95"/>
      <c r="N55" s="9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D55" s="23"/>
      <c r="AE55" s="23"/>
      <c r="AF55" s="23"/>
      <c r="AG55" s="23"/>
      <c r="AH55" s="23"/>
      <c r="AI55" s="23"/>
      <c r="AJ55" s="23"/>
      <c r="AK55" s="23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50"/>
    </row>
    <row r="56" spans="1:52" ht="15" customHeight="1" x14ac:dyDescent="0.25">
      <c r="A56" s="1" t="s">
        <v>22</v>
      </c>
      <c r="B56" s="35"/>
      <c r="C56" s="35"/>
      <c r="AD56" s="23"/>
      <c r="AE56" s="23"/>
      <c r="AF56" s="23"/>
      <c r="AG56" s="23"/>
      <c r="AH56" s="23"/>
      <c r="AI56" s="23"/>
      <c r="AJ56" s="23"/>
      <c r="AK56" s="23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50"/>
    </row>
    <row r="57" spans="1:52" ht="15" customHeight="1" x14ac:dyDescent="0.25">
      <c r="A57" s="1" t="s">
        <v>23</v>
      </c>
      <c r="B57" s="35">
        <v>-134</v>
      </c>
      <c r="C57" s="35">
        <v>-144</v>
      </c>
      <c r="D57" s="3">
        <f>Kunnat!D57+Kuntayhtymät!D57</f>
        <v>-152.721196556184</v>
      </c>
      <c r="E57" s="3">
        <f>Kunnat!E57+Kuntayhtymät!E57</f>
        <v>-313.20359316686097</v>
      </c>
      <c r="F57" s="3">
        <f>Kunnat!F57+Kuntayhtymät!F57</f>
        <v>-290.24599999999998</v>
      </c>
      <c r="G57" s="3">
        <f>Kunnat!G57+Kuntayhtymät!G57</f>
        <v>-475.01499999999999</v>
      </c>
      <c r="H57" s="3">
        <f>Kunnat!H57+Kuntayhtymät!H57</f>
        <v>-302.38200000000001</v>
      </c>
      <c r="I57" s="3">
        <f>Kunnat!I57+Kuntayhtymät!I57</f>
        <v>-231.99099999999999</v>
      </c>
      <c r="J57" s="3">
        <v>-454.39099999999996</v>
      </c>
      <c r="K57" s="3">
        <v>-545.40600000000006</v>
      </c>
      <c r="L57" s="76">
        <v>-172.83100000000002</v>
      </c>
      <c r="M57" s="76">
        <v>-383</v>
      </c>
      <c r="N57" s="76">
        <v>-319.12399999999997</v>
      </c>
      <c r="O57" s="3">
        <v>-1361.4190000000001</v>
      </c>
      <c r="P57" s="3">
        <v>-392.48099999999999</v>
      </c>
      <c r="Q57" s="3">
        <v>-326.17700000000002</v>
      </c>
      <c r="R57" s="3">
        <v>-728.01</v>
      </c>
      <c r="S57" s="3">
        <f>Kunnat!S57+Kuntayhtymät!S57</f>
        <v>-1344.7</v>
      </c>
      <c r="T57" s="3">
        <f>Kunnat!T57+Kuntayhtymät!T57</f>
        <v>-560.30100000000004</v>
      </c>
      <c r="U57" s="3">
        <f>Kunnat!U57+Kuntayhtymät!U57</f>
        <v>-283.53000000000003</v>
      </c>
      <c r="V57" s="3">
        <f>Kunnat!V57+Kuntayhtymät!V57</f>
        <v>-330.05200000000002</v>
      </c>
      <c r="W57" s="3">
        <f>Kunnat!W57+Kuntayhtymät!W57</f>
        <v>-263.86799999999999</v>
      </c>
      <c r="X57" s="3">
        <f>Kunnat!X57+Kuntayhtymät!X57</f>
        <v>-439.68699999999995</v>
      </c>
      <c r="Y57" s="3">
        <f>Kunnat!Y57+Kuntayhtymät!Y57</f>
        <v>-212.12299999999999</v>
      </c>
      <c r="Z57" s="3">
        <f>Kunnat!Z57+Kuntayhtymät!Z57</f>
        <v>-400.56</v>
      </c>
      <c r="AA57" s="3">
        <f>Kunnat!AA57+Kuntayhtymät!AA57</f>
        <v>0</v>
      </c>
      <c r="AB57" s="3">
        <f>Kunnat!AB57+Kuntayhtymät!AB57</f>
        <v>0</v>
      </c>
      <c r="AC57" s="3">
        <f>Kunnat!AC57+Kuntayhtymät!AC57</f>
        <v>0</v>
      </c>
      <c r="AD57" s="3">
        <f>Kunnat!AD57+Kuntayhtymät!AD57</f>
        <v>0</v>
      </c>
      <c r="AE57" s="3">
        <f>Kunnat!AE57+Kuntayhtymät!AE57</f>
        <v>0</v>
      </c>
      <c r="AF57" s="3">
        <f>Kunnat!AF57+Kuntayhtymät!AF57</f>
        <v>0</v>
      </c>
      <c r="AG57" s="3">
        <f>Kunnat!AG57+Kuntayhtymät!AG57</f>
        <v>0</v>
      </c>
      <c r="AH57" s="3">
        <f>Kunnat!AH57+Kuntayhtymät!AH57</f>
        <v>0</v>
      </c>
      <c r="AI57" s="3">
        <f>Kunnat!AI57+Kuntayhtymät!AI57</f>
        <v>0</v>
      </c>
      <c r="AJ57" s="3">
        <f>Kunnat!AJ57+Kuntayhtymät!AJ57</f>
        <v>0</v>
      </c>
      <c r="AK57" s="3">
        <f>Kunnat!AK57+Kuntayhtymät!AK57</f>
        <v>0</v>
      </c>
      <c r="AL57" s="3">
        <f>Kunnat!AL57+Kuntayhtymät!AL57</f>
        <v>0</v>
      </c>
      <c r="AM57" s="3">
        <f>Kunnat!AM57+Kuntayhtymät!AM57</f>
        <v>0</v>
      </c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50"/>
    </row>
    <row r="58" spans="1:52" ht="15" customHeight="1" x14ac:dyDescent="0.25">
      <c r="A58" s="1" t="s">
        <v>24</v>
      </c>
      <c r="B58" s="35">
        <v>200</v>
      </c>
      <c r="C58" s="35">
        <v>183</v>
      </c>
      <c r="D58" s="3">
        <f>Kunnat!D58+Kuntayhtymät!D58</f>
        <v>256.0301258213878</v>
      </c>
      <c r="E58" s="3">
        <f>Kunnat!E58+Kuntayhtymät!E58</f>
        <v>282.31335765330749</v>
      </c>
      <c r="F58" s="3">
        <f>Kunnat!F58+Kuntayhtymät!F58</f>
        <v>232.75800000000001</v>
      </c>
      <c r="G58" s="3">
        <f>Kunnat!G58+Kuntayhtymät!G58</f>
        <v>229.572</v>
      </c>
      <c r="H58" s="3">
        <f>Kunnat!H58+Kuntayhtymät!H58</f>
        <v>239.33500000000001</v>
      </c>
      <c r="I58" s="3">
        <f>Kunnat!I58+Kuntayhtymät!I58</f>
        <v>195.01</v>
      </c>
      <c r="J58" s="3">
        <v>167.47199999999998</v>
      </c>
      <c r="K58" s="3">
        <v>162.91399999999999</v>
      </c>
      <c r="L58" s="76">
        <v>143.65699999999998</v>
      </c>
      <c r="M58" s="76">
        <v>129.13</v>
      </c>
      <c r="N58" s="76">
        <v>154.67899999999997</v>
      </c>
      <c r="O58" s="3">
        <v>187.31899999999999</v>
      </c>
      <c r="P58" s="3">
        <v>258.68799999999999</v>
      </c>
      <c r="Q58" s="3">
        <v>245.04499999999999</v>
      </c>
      <c r="R58" s="3">
        <v>858.98</v>
      </c>
      <c r="S58" s="3">
        <f>Kunnat!S58+Kuntayhtymät!S58</f>
        <v>292.31</v>
      </c>
      <c r="T58" s="3">
        <f>Kunnat!T58+Kuntayhtymät!T58</f>
        <v>321.25100000000003</v>
      </c>
      <c r="U58" s="3">
        <f>Kunnat!U58+Kuntayhtymät!U58</f>
        <v>170.994</v>
      </c>
      <c r="V58" s="3">
        <f>Kunnat!V58+Kuntayhtymät!V58</f>
        <v>265.35200000000003</v>
      </c>
      <c r="W58" s="3">
        <f>Kunnat!W58+Kuntayhtymät!W58</f>
        <v>221.77200000000002</v>
      </c>
      <c r="X58" s="3">
        <f>Kunnat!X58+Kuntayhtymät!X58</f>
        <v>505.32</v>
      </c>
      <c r="Y58" s="3">
        <f>Kunnat!Y58+Kuntayhtymät!Y58</f>
        <v>242.23499999999999</v>
      </c>
      <c r="Z58" s="3">
        <f>Kunnat!Z58+Kuntayhtymät!Z58</f>
        <v>236.291</v>
      </c>
      <c r="AA58" s="3">
        <f>Kunnat!AA58+Kuntayhtymät!AA58</f>
        <v>0</v>
      </c>
      <c r="AB58" s="3">
        <f>Kunnat!AB58+Kuntayhtymät!AB58</f>
        <v>0</v>
      </c>
      <c r="AC58" s="3">
        <f>Kunnat!AC58+Kuntayhtymät!AC58</f>
        <v>0</v>
      </c>
      <c r="AD58" s="3">
        <f>Kunnat!AD58+Kuntayhtymät!AD58</f>
        <v>0</v>
      </c>
      <c r="AE58" s="3">
        <f>Kunnat!AE58+Kuntayhtymät!AE58</f>
        <v>0</v>
      </c>
      <c r="AF58" s="3">
        <f>Kunnat!AF58+Kuntayhtymät!AF58</f>
        <v>0</v>
      </c>
      <c r="AG58" s="3">
        <f>Kunnat!AG58+Kuntayhtymät!AG58</f>
        <v>0</v>
      </c>
      <c r="AH58" s="3">
        <f>Kunnat!AH58+Kuntayhtymät!AH58</f>
        <v>0</v>
      </c>
      <c r="AI58" s="3">
        <f>Kunnat!AI58+Kuntayhtymät!AI58</f>
        <v>0</v>
      </c>
      <c r="AJ58" s="3">
        <f>Kunnat!AJ58+Kuntayhtymät!AJ58</f>
        <v>0</v>
      </c>
      <c r="AK58" s="3">
        <f>Kunnat!AK58+Kuntayhtymät!AK58</f>
        <v>0</v>
      </c>
      <c r="AL58" s="3">
        <f>Kunnat!AL58+Kuntayhtymät!AL58</f>
        <v>0</v>
      </c>
      <c r="AM58" s="3">
        <f>Kunnat!AM58+Kuntayhtymät!AM58</f>
        <v>0</v>
      </c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50"/>
    </row>
    <row r="59" spans="1:52" ht="15" customHeight="1" x14ac:dyDescent="0.25">
      <c r="A59" s="1" t="s">
        <v>25</v>
      </c>
      <c r="B59" s="35"/>
      <c r="C59" s="35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50"/>
    </row>
    <row r="60" spans="1:52" ht="15" customHeight="1" x14ac:dyDescent="0.25">
      <c r="A60" s="1" t="s">
        <v>26</v>
      </c>
      <c r="B60" s="35">
        <v>687</v>
      </c>
      <c r="C60" s="35">
        <v>757</v>
      </c>
      <c r="D60" s="3">
        <f>Kunnat!D60+Kuntayhtymät!D60</f>
        <v>725.46314750249337</v>
      </c>
      <c r="E60" s="3">
        <f>Kunnat!E60+Kuntayhtymät!E60</f>
        <v>723.65563185681151</v>
      </c>
      <c r="F60" s="3">
        <f>Kunnat!F60+Kuntayhtymät!F60</f>
        <v>918.68700000000001</v>
      </c>
      <c r="G60" s="3">
        <f>Kunnat!G60+Kuntayhtymät!G60</f>
        <v>1413.1429999999998</v>
      </c>
      <c r="H60" s="3">
        <f>Kunnat!H60+Kuntayhtymät!H60</f>
        <v>1384.914</v>
      </c>
      <c r="I60" s="3">
        <f>Kunnat!I60+Kuntayhtymät!I60</f>
        <v>1785.433</v>
      </c>
      <c r="J60" s="3">
        <v>1599.6110000000001</v>
      </c>
      <c r="K60" s="3">
        <v>1472.422</v>
      </c>
      <c r="L60" s="76">
        <v>1591.3690000000001</v>
      </c>
      <c r="M60" s="76">
        <v>1516.54</v>
      </c>
      <c r="N60" s="76">
        <v>2401.1730000000002</v>
      </c>
      <c r="O60" s="3">
        <v>3213.44</v>
      </c>
      <c r="P60" s="3">
        <v>2026.9090000000001</v>
      </c>
      <c r="Q60" s="3">
        <v>2413.6909999999998</v>
      </c>
      <c r="R60" s="3">
        <v>3014.85</v>
      </c>
      <c r="S60" s="3">
        <f>Kunnat!S60+Kuntayhtymät!S60</f>
        <v>2736.5830000000001</v>
      </c>
      <c r="T60" s="3">
        <f>Kunnat!T60+Kuntayhtymät!T60</f>
        <v>2512.431</v>
      </c>
      <c r="U60" s="3">
        <f>Kunnat!U60+Kuntayhtymät!U60</f>
        <v>2514.8320000000003</v>
      </c>
      <c r="V60" s="3">
        <f>Kunnat!V60+Kuntayhtymät!V60</f>
        <v>2270.5879999999997</v>
      </c>
      <c r="W60" s="3">
        <f>Kunnat!W60+Kuntayhtymät!W60</f>
        <v>2825.5069999999996</v>
      </c>
      <c r="X60" s="3">
        <f>Kunnat!X60+Kuntayhtymät!X60</f>
        <v>3693.88</v>
      </c>
      <c r="Y60" s="3">
        <f>Kunnat!Y60+Kuntayhtymät!Y60</f>
        <v>4430.8670000000002</v>
      </c>
      <c r="Z60" s="3">
        <f>Kunnat!Z60+Kuntayhtymät!Z60</f>
        <v>2537.6080000000002</v>
      </c>
      <c r="AA60" s="3">
        <f>Kunnat!AA60+Kuntayhtymät!AA60</f>
        <v>0</v>
      </c>
      <c r="AB60" s="3">
        <f>Kunnat!AB60+Kuntayhtymät!AB60</f>
        <v>-18.008643639011716</v>
      </c>
      <c r="AC60" s="3">
        <f>Kunnat!AC60+Kuntayhtymät!AC60</f>
        <v>-18.857457552142147</v>
      </c>
      <c r="AD60" s="3">
        <f>Kunnat!AD60+Kuntayhtymät!AD60</f>
        <v>21.070153552734464</v>
      </c>
      <c r="AE60" s="3">
        <f>Kunnat!AE60+Kuntayhtymät!AE60</f>
        <v>103.80646243444667</v>
      </c>
      <c r="AF60" s="3">
        <f>Kunnat!AF60+Kuntayhtymät!AF60</f>
        <v>79.985013352050373</v>
      </c>
      <c r="AG60" s="3">
        <f>Kunnat!AG60+Kuntayhtymät!AG60</f>
        <v>-12.367610929074965</v>
      </c>
      <c r="AH60" s="3">
        <f>Kunnat!AH60+Kuntayhtymät!AH60</f>
        <v>50.021516377222625</v>
      </c>
      <c r="AI60" s="3">
        <f>Kunnat!AI60+Kuntayhtymät!AI60</f>
        <v>28.45891160541688</v>
      </c>
      <c r="AJ60" s="3">
        <f>Kunnat!AJ60+Kuntayhtymät!AJ60</f>
        <v>-24.536211942622174</v>
      </c>
      <c r="AK60" s="3">
        <f>Kunnat!AK60+Kuntayhtymät!AK60</f>
        <v>31.864098515378366</v>
      </c>
      <c r="AL60" s="3">
        <f>Kunnat!AL60+Kuntayhtymät!AL60</f>
        <v>-20.053413476487371</v>
      </c>
      <c r="AM60" s="3">
        <f>Kunnat!AM60+Kuntayhtymät!AM60</f>
        <v>32.844279851342705</v>
      </c>
      <c r="AN60" s="49">
        <f>100*(O60-N60)/N60</f>
        <v>33.827924935021329</v>
      </c>
      <c r="AO60" s="49">
        <f>100*(P60-O60)/O60</f>
        <v>-36.924012895837478</v>
      </c>
      <c r="AP60" s="49">
        <f>100*(Q60-P60)/P60</f>
        <v>19.082356435340692</v>
      </c>
      <c r="AQ60" s="49">
        <f>100*(R60-Q60)/Q60</f>
        <v>24.906212104200584</v>
      </c>
      <c r="AR60" s="49">
        <f>100*(S60-R60)/R60</f>
        <v>-9.2298787667711437</v>
      </c>
      <c r="AS60" s="49">
        <f>100*(T60-S60)/S60</f>
        <v>-8.1909446927061982</v>
      </c>
      <c r="AT60" s="49">
        <f>100*(U60-T60)/T60</f>
        <v>9.5564813521258674E-2</v>
      </c>
      <c r="AU60" s="49">
        <f>100*(V60-U60)/U60</f>
        <v>-9.7121398168943518</v>
      </c>
      <c r="AV60" s="49">
        <f t="shared" ref="AV60:AV61" si="25">100*(W60-V60)/V60</f>
        <v>24.439440356418686</v>
      </c>
      <c r="AW60" s="49">
        <f>100*(X60-W60)/W60</f>
        <v>30.733351571947992</v>
      </c>
      <c r="AX60" s="49">
        <f>100*(Y60-X60)/X60</f>
        <v>19.951568540396551</v>
      </c>
      <c r="AY60" s="49">
        <f>100*(Z60-Y60)/Y60</f>
        <v>-42.728860965585291</v>
      </c>
      <c r="AZ60" s="50">
        <f>100*(EXP(LN(Z60/O60)/11)-1)</f>
        <v>-2.1236721025132299</v>
      </c>
    </row>
    <row r="61" spans="1:52" ht="15" customHeight="1" x14ac:dyDescent="0.25">
      <c r="A61" s="1" t="s">
        <v>27</v>
      </c>
      <c r="B61" s="35">
        <v>-857</v>
      </c>
      <c r="C61" s="35">
        <v>-894</v>
      </c>
      <c r="D61" s="3">
        <f>Kunnat!D61+Kuntayhtymät!D61</f>
        <v>-1018.2361123024423</v>
      </c>
      <c r="E61" s="3">
        <f>Kunnat!E61+Kuntayhtymät!E61</f>
        <v>-776.50532398881217</v>
      </c>
      <c r="F61" s="3">
        <f>Kunnat!F61+Kuntayhtymät!F61</f>
        <v>-745.05899999999997</v>
      </c>
      <c r="G61" s="3">
        <f>Kunnat!G61+Kuntayhtymät!G61</f>
        <v>-816.61399999999992</v>
      </c>
      <c r="H61" s="3">
        <f>Kunnat!H61+Kuntayhtymät!H61</f>
        <v>-758.91399999999999</v>
      </c>
      <c r="I61" s="3">
        <f>Kunnat!I61+Kuntayhtymät!I61</f>
        <v>-842.83699999999999</v>
      </c>
      <c r="J61" s="3">
        <v>-813.60900000000004</v>
      </c>
      <c r="K61" s="3">
        <v>-949.36200000000008</v>
      </c>
      <c r="L61" s="76">
        <v>-1044.124</v>
      </c>
      <c r="M61" s="76">
        <v>-1041.4000000000001</v>
      </c>
      <c r="N61" s="76">
        <v>-1296.067</v>
      </c>
      <c r="O61" s="3">
        <v>-1279.1289999999999</v>
      </c>
      <c r="P61" s="3">
        <v>-1432.0880000000002</v>
      </c>
      <c r="Q61" s="3">
        <v>-1479.0730000000001</v>
      </c>
      <c r="R61" s="3">
        <v>-1646.3300000000002</v>
      </c>
      <c r="S61" s="3">
        <f>Kunnat!S61+Kuntayhtymät!S61</f>
        <v>-1927.318</v>
      </c>
      <c r="T61" s="3">
        <f>Kunnat!T61+Kuntayhtymät!T61</f>
        <v>-1954.779</v>
      </c>
      <c r="U61" s="3">
        <f>Kunnat!U61+Kuntayhtymät!U61</f>
        <v>-2072.7249999999999</v>
      </c>
      <c r="V61" s="3">
        <f>Kunnat!V61+Kuntayhtymät!V61</f>
        <v>-2007.9909999999998</v>
      </c>
      <c r="W61" s="3">
        <f>Kunnat!W61+Kuntayhtymät!W61</f>
        <v>-2042.854</v>
      </c>
      <c r="X61" s="3">
        <f>Kunnat!X61+Kuntayhtymät!X61</f>
        <v>-1975.8110000000001</v>
      </c>
      <c r="Y61" s="3">
        <f>Kunnat!Y61+Kuntayhtymät!Y61</f>
        <v>-2194.7370000000001</v>
      </c>
      <c r="Z61" s="3">
        <f>Kunnat!Z61+Kuntayhtymät!Z61</f>
        <v>-2171.8969999999999</v>
      </c>
      <c r="AA61" s="3">
        <f>Kunnat!AA61+Kuntayhtymät!AA61</f>
        <v>0</v>
      </c>
      <c r="AB61" s="3">
        <f>Kunnat!AB61+Kuntayhtymät!AB61</f>
        <v>18.456304228470312</v>
      </c>
      <c r="AC61" s="3">
        <f>Kunnat!AC61+Kuntayhtymät!AC61</f>
        <v>24.011375865562041</v>
      </c>
      <c r="AD61" s="3">
        <f>Kunnat!AD61+Kuntayhtymät!AD61</f>
        <v>-59.936719220427747</v>
      </c>
      <c r="AE61" s="3">
        <f>Kunnat!AE61+Kuntayhtymät!AE61</f>
        <v>-15.264702271527526</v>
      </c>
      <c r="AF61" s="3">
        <f>Kunnat!AF61+Kuntayhtymät!AF61</f>
        <v>-29.465502191206561</v>
      </c>
      <c r="AG61" s="3">
        <f>Kunnat!AG61+Kuntayhtymät!AG61</f>
        <v>-7.689262736395948</v>
      </c>
      <c r="AH61" s="3">
        <f>Kunnat!AH61+Kuntayhtymät!AH61</f>
        <v>28.178870864377508</v>
      </c>
      <c r="AI61" s="3">
        <f>Kunnat!AI61+Kuntayhtymät!AI61</f>
        <v>10.157162497750365</v>
      </c>
      <c r="AJ61" s="3">
        <f>Kunnat!AJ61+Kuntayhtymät!AJ61</f>
        <v>20.589490385830924</v>
      </c>
      <c r="AK61" s="3">
        <f>Kunnat!AK61+Kuntayhtymät!AK61</f>
        <v>25.282609194056114</v>
      </c>
      <c r="AL61" s="3">
        <f>Kunnat!AL61+Kuntayhtymät!AL61</f>
        <v>-5.7174530303725337</v>
      </c>
      <c r="AM61" s="3">
        <f>Kunnat!AM61+Kuntayhtymät!AM61</f>
        <v>46.411605712921038</v>
      </c>
      <c r="AN61" s="49">
        <f>100*(O61-N61)/N61</f>
        <v>-1.3068768821365024</v>
      </c>
      <c r="AO61" s="49">
        <f>100*(P61-O61)/O61</f>
        <v>11.958058960433256</v>
      </c>
      <c r="AP61" s="49">
        <f>100*(Q61-P61)/P61</f>
        <v>3.2808738010513245</v>
      </c>
      <c r="AQ61" s="49">
        <f>100*(R61-Q61)/Q61</f>
        <v>11.308231574776906</v>
      </c>
      <c r="AR61" s="49">
        <f>100*(S61-R61)/R61</f>
        <v>17.067538099894904</v>
      </c>
      <c r="AS61" s="49">
        <f>100*(T61-S61)/S61</f>
        <v>1.4248297374901295</v>
      </c>
      <c r="AT61" s="49">
        <f>100*(U61-T61)/T61</f>
        <v>6.0337255515840873</v>
      </c>
      <c r="AU61" s="49">
        <f>100*(V61-U61)/U61</f>
        <v>-3.1231350034375112</v>
      </c>
      <c r="AV61" s="49">
        <f t="shared" si="25"/>
        <v>1.7362129611138839</v>
      </c>
      <c r="AW61" s="49">
        <f>100*(X61-W61)/W61</f>
        <v>-3.2818302237947448</v>
      </c>
      <c r="AX61" s="49">
        <f>100*(Y61-X61)/X61</f>
        <v>11.080310819202843</v>
      </c>
      <c r="AY61" s="49">
        <f>100*(Z61-Y61)/Y61</f>
        <v>-1.0406713879612977</v>
      </c>
      <c r="AZ61" s="50">
        <f>100*(EXP(LN(Z61/O61)/11)-1)</f>
        <v>4.9306255245030073</v>
      </c>
    </row>
    <row r="62" spans="1:52" ht="15" customHeight="1" x14ac:dyDescent="0.25">
      <c r="A62" s="1" t="s">
        <v>28</v>
      </c>
      <c r="B62" s="35">
        <v>175</v>
      </c>
      <c r="C62" s="35">
        <v>30</v>
      </c>
      <c r="D62" s="3">
        <f>Kunnat!D62+Kuntayhtymät!D62</f>
        <v>4.7064027461724631</v>
      </c>
      <c r="E62" s="3">
        <f>Kunnat!E62+Kuntayhtymät!E62</f>
        <v>174.44821746026139</v>
      </c>
      <c r="F62" s="3">
        <f>Kunnat!F62+Kuntayhtymät!F62</f>
        <v>30.686999999999998</v>
      </c>
      <c r="G62" s="3">
        <f>Kunnat!G62+Kuntayhtymät!G62</f>
        <v>-85.021000000000001</v>
      </c>
      <c r="H62" s="3">
        <f>Kunnat!H62+Kuntayhtymät!H62</f>
        <v>99.71</v>
      </c>
      <c r="I62" s="3">
        <f>Kunnat!I62+Kuntayhtymät!I62</f>
        <v>77.534999999999997</v>
      </c>
      <c r="J62" s="3">
        <v>192.10399999999998</v>
      </c>
      <c r="K62" s="3">
        <v>171.405</v>
      </c>
      <c r="L62" s="76">
        <v>64.418999999999997</v>
      </c>
      <c r="M62" s="76">
        <v>123</v>
      </c>
      <c r="N62" s="76">
        <v>189.32399999999998</v>
      </c>
      <c r="O62" s="3">
        <v>51.032999999999994</v>
      </c>
      <c r="P62" s="3">
        <v>39.110999999999997</v>
      </c>
      <c r="Q62" s="3">
        <v>554.58900000000006</v>
      </c>
      <c r="R62" s="3">
        <v>386.19</v>
      </c>
      <c r="S62" s="3">
        <f>Kunnat!S62+Kuntayhtymät!S62</f>
        <v>145.67200000000003</v>
      </c>
      <c r="T62" s="3">
        <f>Kunnat!T62+Kuntayhtymät!T62</f>
        <v>305.89800000000002</v>
      </c>
      <c r="U62" s="3">
        <f>Kunnat!U62+Kuntayhtymät!U62</f>
        <v>262.31700000000001</v>
      </c>
      <c r="V62" s="3">
        <f>Kunnat!V62+Kuntayhtymät!V62</f>
        <v>121.58699999999999</v>
      </c>
      <c r="W62" s="3">
        <f>Kunnat!W62+Kuntayhtymät!W62</f>
        <v>219.32900000000001</v>
      </c>
      <c r="X62" s="3">
        <f>Kunnat!X62+Kuntayhtymät!X62</f>
        <v>775.48599999999999</v>
      </c>
      <c r="Y62" s="3">
        <f>Kunnat!Y62+Kuntayhtymät!Y62</f>
        <v>-807.95899999999995</v>
      </c>
      <c r="Z62" s="3">
        <f>Kunnat!Z62+Kuntayhtymät!Z62</f>
        <v>417.28200000000004</v>
      </c>
      <c r="AA62" s="3">
        <f>Kunnat!AA62+Kuntayhtymät!AA62</f>
        <v>0</v>
      </c>
      <c r="AB62" s="3">
        <f>Kunnat!AB62+Kuntayhtymät!AB62</f>
        <v>0</v>
      </c>
      <c r="AC62" s="3">
        <f>Kunnat!AC62+Kuntayhtymät!AC62</f>
        <v>0</v>
      </c>
      <c r="AD62" s="3">
        <f>Kunnat!AD62+Kuntayhtymät!AD62</f>
        <v>0</v>
      </c>
      <c r="AE62" s="3">
        <f>Kunnat!AE62+Kuntayhtymät!AE62</f>
        <v>0</v>
      </c>
      <c r="AF62" s="3">
        <f>Kunnat!AF62+Kuntayhtymät!AF62</f>
        <v>0</v>
      </c>
      <c r="AG62" s="3">
        <f>Kunnat!AG62+Kuntayhtymät!AG62</f>
        <v>0</v>
      </c>
      <c r="AH62" s="3">
        <f>Kunnat!AH62+Kuntayhtymät!AH62</f>
        <v>0</v>
      </c>
      <c r="AI62" s="3">
        <f>Kunnat!AI62+Kuntayhtymät!AI62</f>
        <v>0</v>
      </c>
      <c r="AJ62" s="3">
        <f>Kunnat!AJ62+Kuntayhtymät!AJ62</f>
        <v>0</v>
      </c>
      <c r="AK62" s="3">
        <f>Kunnat!AK62+Kuntayhtymät!AK62</f>
        <v>0</v>
      </c>
      <c r="AL62" s="3">
        <f>Kunnat!AL62+Kuntayhtymät!AL62</f>
        <v>0</v>
      </c>
      <c r="AM62" s="3">
        <f>Kunnat!AM62+Kuntayhtymät!AM62</f>
        <v>0</v>
      </c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50"/>
    </row>
    <row r="63" spans="1:52" ht="15" customHeight="1" x14ac:dyDescent="0.25">
      <c r="A63" s="1" t="s">
        <v>29</v>
      </c>
      <c r="B63" s="35">
        <v>0</v>
      </c>
      <c r="C63" s="35">
        <v>0</v>
      </c>
      <c r="D63" s="3">
        <f>Kunnat!D63+Kuntayhtymät!D63-93.397</f>
        <v>4.4657090046484882E-4</v>
      </c>
      <c r="E63" s="3">
        <f>Kunnat!E63+Kuntayhtymät!E63-60.705</f>
        <v>33.00981718813334</v>
      </c>
      <c r="F63" s="3">
        <f>Kunnat!F63+Kuntayhtymät!F63-41.929</f>
        <v>41.091000000000008</v>
      </c>
      <c r="G63" s="3">
        <f>Kunnat!G63+Kuntayhtymät!G63-21.004</f>
        <v>46.527000000000001</v>
      </c>
      <c r="H63" s="3">
        <f>Kunnat!H63+Kuntayhtymät!H63-15.537</f>
        <v>13.723000000000001</v>
      </c>
      <c r="I63" s="3">
        <f>Kunnat!I63+Kuntayhtymät!I63-15.537</f>
        <v>-1.2569999999999997</v>
      </c>
      <c r="J63" s="3">
        <v>0.11999999999999922</v>
      </c>
      <c r="K63" s="3">
        <v>16.810000000000002</v>
      </c>
      <c r="L63" s="76">
        <v>-6.859</v>
      </c>
      <c r="M63" s="76">
        <v>-3.4999999999999698E-2</v>
      </c>
      <c r="N63" s="76">
        <v>4.0940000000000012</v>
      </c>
      <c r="O63" s="3">
        <v>5.0339999999999918</v>
      </c>
      <c r="P63" s="3">
        <v>26.132999999999999</v>
      </c>
      <c r="Q63" s="3">
        <v>-7.3269999999999982</v>
      </c>
      <c r="R63" s="3">
        <v>-10.259999999999998</v>
      </c>
      <c r="S63" s="3">
        <f>Kunnat!S63+Kuntayhtymät!S63+8</f>
        <v>3.4430000000000005</v>
      </c>
      <c r="T63" s="3">
        <f>Kunnat!T63+Kuntayhtymät!T63+10</f>
        <v>-8.4329999999999998</v>
      </c>
      <c r="U63" s="3">
        <f>Kunnat!U63+Kuntayhtymät!U63+24.42</f>
        <v>3.0980000000000025</v>
      </c>
      <c r="V63" s="3">
        <f>Kunnat!V63+Kuntayhtymät!V63</f>
        <v>-15.875000000000002</v>
      </c>
      <c r="W63" s="3">
        <f>Kunnat!W63+Kuntayhtymät!W63</f>
        <v>-39.618000000000002</v>
      </c>
      <c r="X63" s="3">
        <f>Kunnat!X63+Kuntayhtymät!X63</f>
        <v>-2.1800000000000002</v>
      </c>
      <c r="Y63" s="3">
        <f>Kunnat!Y63+Kuntayhtymät!Y63</f>
        <v>20.306000000000001</v>
      </c>
      <c r="Z63" s="3">
        <f>Kunnat!Z63+Kuntayhtymät!Z63</f>
        <v>-4.7480000000000002</v>
      </c>
      <c r="AA63" s="3">
        <f>Kunnat!AA63+Kuntayhtymät!AA63</f>
        <v>0</v>
      </c>
      <c r="AB63" s="3">
        <f>Kunnat!AB63+Kuntayhtymät!AB63</f>
        <v>0</v>
      </c>
      <c r="AC63" s="3">
        <f>Kunnat!AC63+Kuntayhtymät!AC63</f>
        <v>0</v>
      </c>
      <c r="AD63" s="3">
        <f>Kunnat!AD63+Kuntayhtymät!AD63</f>
        <v>0</v>
      </c>
      <c r="AE63" s="3">
        <f>Kunnat!AE63+Kuntayhtymät!AE63</f>
        <v>0</v>
      </c>
      <c r="AF63" s="3">
        <f>Kunnat!AF63+Kuntayhtymät!AF63</f>
        <v>0</v>
      </c>
      <c r="AG63" s="3">
        <f>Kunnat!AG63+Kuntayhtymät!AG63</f>
        <v>0</v>
      </c>
      <c r="AH63" s="3">
        <f>Kunnat!AH63+Kuntayhtymät!AH63</f>
        <v>0</v>
      </c>
      <c r="AI63" s="3">
        <f>Kunnat!AI63+Kuntayhtymät!AI63</f>
        <v>0</v>
      </c>
      <c r="AJ63" s="3">
        <f>Kunnat!AJ63+Kuntayhtymät!AJ63</f>
        <v>0</v>
      </c>
      <c r="AK63" s="3">
        <f>Kunnat!AK63+Kuntayhtymät!AK63</f>
        <v>0</v>
      </c>
      <c r="AL63" s="3">
        <f>Kunnat!AL63+Kuntayhtymät!AL63</f>
        <v>0</v>
      </c>
      <c r="AM63" s="3">
        <f>Kunnat!AM63+Kuntayhtymät!AM63</f>
        <v>0</v>
      </c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50"/>
    </row>
    <row r="64" spans="1:52" ht="15" customHeight="1" x14ac:dyDescent="0.25">
      <c r="A64" s="1" t="s">
        <v>30</v>
      </c>
      <c r="B64" s="36">
        <v>-58</v>
      </c>
      <c r="C64" s="36">
        <v>-48</v>
      </c>
      <c r="D64" s="15">
        <f>Kunnat!D64+Kuntayhtymät!D64</f>
        <v>16.650604719689593</v>
      </c>
      <c r="E64" s="15">
        <f>Kunnat!E64+Kuntayhtymät!E64</f>
        <v>247.90900360426727</v>
      </c>
      <c r="F64" s="15">
        <f>Kunnat!F64+Kuntayhtymät!F64</f>
        <v>192.85300000000001</v>
      </c>
      <c r="G64" s="15">
        <f>Kunnat!G64+Kuntayhtymät!G64</f>
        <v>-40.528999999999996</v>
      </c>
      <c r="H64" s="15">
        <f>Kunnat!H64+Kuntayhtymät!H64</f>
        <v>215.81700000000001</v>
      </c>
      <c r="I64" s="15">
        <f>Kunnat!I64+Kuntayhtymät!I64</f>
        <v>171.428</v>
      </c>
      <c r="J64" s="15">
        <v>217.54300000000001</v>
      </c>
      <c r="K64" s="15">
        <v>271.71800000000002</v>
      </c>
      <c r="L64" s="79">
        <v>179.82100000000003</v>
      </c>
      <c r="M64" s="79">
        <v>273</v>
      </c>
      <c r="N64" s="79">
        <v>45.763000000000005</v>
      </c>
      <c r="O64" s="15">
        <v>51.619</v>
      </c>
      <c r="P64" s="15">
        <v>362.51</v>
      </c>
      <c r="Q64" s="15">
        <v>247.59</v>
      </c>
      <c r="R64" s="15">
        <v>210.42</v>
      </c>
      <c r="S64" s="15">
        <f>Kunnat!S64+Kuntayhtymät!S64</f>
        <v>335.68799999999999</v>
      </c>
      <c r="T64" s="15">
        <f>Kunnat!T64+Kuntayhtymät!T64</f>
        <v>63.655999999999992</v>
      </c>
      <c r="U64" s="15">
        <f>Kunnat!U64+Kuntayhtymät!U64</f>
        <v>91.45</v>
      </c>
      <c r="V64" s="15">
        <f>Kunnat!V64+Kuntayhtymät!V64</f>
        <v>299.774</v>
      </c>
      <c r="W64" s="15">
        <f>Kunnat!W64+Kuntayhtymät!W64</f>
        <v>381.15300000000002</v>
      </c>
      <c r="X64" s="15">
        <f>Kunnat!X64+Kuntayhtymät!X64</f>
        <v>-97.775999999999996</v>
      </c>
      <c r="Y64" s="15">
        <f>Kunnat!Y64+Kuntayhtymät!Y64</f>
        <v>562.101</v>
      </c>
      <c r="Z64" s="15">
        <f>Kunnat!Z64+Kuntayhtymät!Z64</f>
        <v>-242.22399999999999</v>
      </c>
      <c r="AA64" s="15">
        <f>Kunnat!AA64+Kuntayhtymät!AA64</f>
        <v>0</v>
      </c>
      <c r="AB64" s="15">
        <f>Kunnat!AB64+Kuntayhtymät!AB64</f>
        <v>0</v>
      </c>
      <c r="AC64" s="15">
        <f>Kunnat!AC64+Kuntayhtymät!AC64</f>
        <v>0</v>
      </c>
      <c r="AD64" s="15">
        <f>Kunnat!AD64+Kuntayhtymät!AD64</f>
        <v>0</v>
      </c>
      <c r="AE64" s="15">
        <f>Kunnat!AE64+Kuntayhtymät!AE64</f>
        <v>0</v>
      </c>
      <c r="AF64" s="15">
        <f>Kunnat!AF64+Kuntayhtymät!AF64</f>
        <v>0</v>
      </c>
      <c r="AG64" s="15">
        <f>Kunnat!AG64+Kuntayhtymät!AG64</f>
        <v>0</v>
      </c>
      <c r="AH64" s="15">
        <f>Kunnat!AH64+Kuntayhtymät!AH64</f>
        <v>0</v>
      </c>
      <c r="AI64" s="15">
        <f>Kunnat!AI64+Kuntayhtymät!AI64</f>
        <v>0</v>
      </c>
      <c r="AJ64" s="15">
        <f>Kunnat!AJ64+Kuntayhtymät!AJ64</f>
        <v>0</v>
      </c>
      <c r="AK64" s="15">
        <f>Kunnat!AK64+Kuntayhtymät!AK64</f>
        <v>0</v>
      </c>
      <c r="AL64" s="15">
        <f>Kunnat!AL64+Kuntayhtymät!AL64</f>
        <v>0</v>
      </c>
      <c r="AM64" s="15">
        <f>Kunnat!AM64+Kuntayhtymät!AM64</f>
        <v>0</v>
      </c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50"/>
    </row>
    <row r="65" spans="1:52" ht="18" customHeight="1" x14ac:dyDescent="0.25">
      <c r="A65" s="1" t="s">
        <v>40</v>
      </c>
      <c r="B65" s="35">
        <f>B57+B58+B60+B61+B62+B63+B64</f>
        <v>13</v>
      </c>
      <c r="C65" s="35">
        <f>C57+C58+C60+C61+C62+C63+C64</f>
        <v>-116</v>
      </c>
      <c r="D65" s="3">
        <f t="shared" ref="D65:I65" si="26">D57+D58+D60+D61+D62+D63+D64</f>
        <v>-168.10658149798257</v>
      </c>
      <c r="E65" s="3">
        <f t="shared" si="26"/>
        <v>371.62711060710791</v>
      </c>
      <c r="F65" s="3">
        <f t="shared" si="26"/>
        <v>380.77100000000013</v>
      </c>
      <c r="G65" s="3">
        <f t="shared" si="26"/>
        <v>272.06299999999987</v>
      </c>
      <c r="H65" s="3">
        <f t="shared" si="26"/>
        <v>892.20299999999997</v>
      </c>
      <c r="I65" s="3">
        <f t="shared" si="26"/>
        <v>1153.3209999999999</v>
      </c>
      <c r="J65" s="3">
        <v>908.84999999999991</v>
      </c>
      <c r="K65" s="3">
        <v>600.50099999999975</v>
      </c>
      <c r="L65" s="76">
        <v>755.45200000000011</v>
      </c>
      <c r="M65" s="76">
        <v>617.2349999999999</v>
      </c>
      <c r="N65" s="76">
        <v>1179.8420000000001</v>
      </c>
      <c r="O65" s="3">
        <v>867.89700000000005</v>
      </c>
      <c r="P65" s="3">
        <v>888.78199999999981</v>
      </c>
      <c r="Q65" s="3">
        <v>1648.3379999999997</v>
      </c>
      <c r="R65" s="3">
        <v>2085.8399999999997</v>
      </c>
      <c r="S65" s="3">
        <f>S57+S58+S60+S61+S62+S63+S64</f>
        <v>241.678</v>
      </c>
      <c r="T65" s="3">
        <f>T57+T58+T60+T61+T62+T63+T64</f>
        <v>679.72299999999984</v>
      </c>
      <c r="U65" s="3">
        <f>U57+U58+U60+U61+U62+U63+U64</f>
        <v>686.43600000000038</v>
      </c>
      <c r="V65" s="3">
        <f>V57+V58+V60+V61+V62+V63+V64</f>
        <v>603.38300000000015</v>
      </c>
      <c r="W65" s="3">
        <f t="shared" ref="W65:AM65" si="27">W57+W58+W60+W61+W62+W63+W64</f>
        <v>1301.4209999999994</v>
      </c>
      <c r="X65" s="3">
        <f t="shared" si="27"/>
        <v>2459.232</v>
      </c>
      <c r="Y65" s="3">
        <f t="shared" si="27"/>
        <v>2040.6900000000005</v>
      </c>
      <c r="Z65" s="3">
        <f t="shared" ref="Z65" si="28">Z57+Z58+Z60+Z61+Z62+Z63+Z64</f>
        <v>371.75200000000001</v>
      </c>
      <c r="AA65" s="3">
        <f t="shared" si="27"/>
        <v>0</v>
      </c>
      <c r="AB65" s="3">
        <f t="shared" si="27"/>
        <v>0.44766058945859655</v>
      </c>
      <c r="AC65" s="3">
        <f t="shared" si="27"/>
        <v>5.1539183134198936</v>
      </c>
      <c r="AD65" s="3">
        <f t="shared" si="27"/>
        <v>-38.86656566769328</v>
      </c>
      <c r="AE65" s="3">
        <f t="shared" si="27"/>
        <v>88.541760162919147</v>
      </c>
      <c r="AF65" s="3">
        <f t="shared" si="27"/>
        <v>50.519511160843813</v>
      </c>
      <c r="AG65" s="3">
        <f t="shared" si="27"/>
        <v>-20.056873665470913</v>
      </c>
      <c r="AH65" s="3">
        <f t="shared" si="27"/>
        <v>78.20038724160014</v>
      </c>
      <c r="AI65" s="3">
        <f t="shared" si="27"/>
        <v>38.616074103167243</v>
      </c>
      <c r="AJ65" s="3">
        <f t="shared" si="27"/>
        <v>-3.9467215567912497</v>
      </c>
      <c r="AK65" s="3">
        <f t="shared" si="27"/>
        <v>57.14670770943448</v>
      </c>
      <c r="AL65" s="3">
        <f t="shared" si="27"/>
        <v>-25.770866506859903</v>
      </c>
      <c r="AM65" s="3">
        <f t="shared" si="27"/>
        <v>79.255885564263735</v>
      </c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50"/>
    </row>
    <row r="66" spans="1:52" ht="8.25" customHeight="1" x14ac:dyDescent="0.25">
      <c r="A66" s="1"/>
      <c r="B66" s="35"/>
      <c r="C66" s="35"/>
      <c r="AD66" s="23"/>
      <c r="AE66" s="23"/>
      <c r="AF66" s="23"/>
      <c r="AG66" s="23"/>
      <c r="AH66" s="23"/>
      <c r="AI66" s="23"/>
      <c r="AJ66" s="23"/>
      <c r="AK66" s="23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50"/>
    </row>
    <row r="67" spans="1:52" ht="14.25" customHeight="1" x14ac:dyDescent="0.25">
      <c r="A67" s="8" t="s">
        <v>41</v>
      </c>
      <c r="B67" s="35">
        <f>B53+B65</f>
        <v>-859</v>
      </c>
      <c r="C67" s="35">
        <f>C53+C65</f>
        <v>-267</v>
      </c>
      <c r="D67" s="3">
        <f t="shared" ref="D67:I67" si="29">D53+D65</f>
        <v>-34.577251237447058</v>
      </c>
      <c r="E67" s="3">
        <f t="shared" si="29"/>
        <v>338.50415340084231</v>
      </c>
      <c r="F67" s="3">
        <f t="shared" si="29"/>
        <v>-95.903999999999371</v>
      </c>
      <c r="G67" s="3">
        <f t="shared" si="29"/>
        <v>296.00599999999724</v>
      </c>
      <c r="H67" s="3">
        <f t="shared" si="29"/>
        <v>-42.678000000004545</v>
      </c>
      <c r="I67" s="3">
        <f t="shared" si="29"/>
        <v>-85.432999999999083</v>
      </c>
      <c r="J67" s="3">
        <v>-29.186000000001741</v>
      </c>
      <c r="K67" s="3">
        <v>693.58900000000313</v>
      </c>
      <c r="L67" s="76">
        <v>165.02799999999877</v>
      </c>
      <c r="M67" s="76">
        <v>-259.96500000000663</v>
      </c>
      <c r="N67" s="76">
        <v>179.36199999999599</v>
      </c>
      <c r="O67" s="3">
        <v>553.85900000001141</v>
      </c>
      <c r="P67" s="3">
        <v>-224.78699999999378</v>
      </c>
      <c r="Q67" s="3">
        <v>-331.18500000000267</v>
      </c>
      <c r="R67" s="3">
        <v>999.70999999999685</v>
      </c>
      <c r="S67" s="3">
        <f>S53+S65</f>
        <v>113.19200000000558</v>
      </c>
      <c r="T67" s="3">
        <f>T53+T65</f>
        <v>-155.71400000000631</v>
      </c>
      <c r="U67" s="3">
        <f>U53+U65</f>
        <v>564.86900000000401</v>
      </c>
      <c r="V67" s="3">
        <f>V53+V65</f>
        <v>724.56000000000734</v>
      </c>
      <c r="W67" s="3">
        <f t="shared" ref="W67:X67" si="30">W53+W65</f>
        <v>844.65400000000079</v>
      </c>
      <c r="X67" s="3">
        <f t="shared" si="30"/>
        <v>265.85099999999784</v>
      </c>
      <c r="Y67" s="3">
        <f t="shared" ref="Y67:Z67" si="31">Y53+Y65</f>
        <v>1637.8060000000014</v>
      </c>
      <c r="Z67" s="3">
        <f t="shared" si="31"/>
        <v>443.41100000000375</v>
      </c>
      <c r="AA67" s="3"/>
      <c r="AB67" s="3"/>
      <c r="AC67" s="3"/>
      <c r="AD67" s="23"/>
      <c r="AE67" s="23"/>
      <c r="AF67" s="23"/>
      <c r="AG67" s="23"/>
      <c r="AH67" s="23"/>
      <c r="AI67" s="23"/>
      <c r="AJ67" s="23"/>
      <c r="AK67" s="23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50"/>
    </row>
    <row r="68" spans="1:52" ht="9" customHeight="1" x14ac:dyDescent="0.25">
      <c r="A68" s="1"/>
      <c r="B68" s="35"/>
      <c r="C68" s="35"/>
      <c r="AD68" s="23"/>
      <c r="AE68" s="23"/>
      <c r="AF68" s="23"/>
      <c r="AG68" s="23"/>
      <c r="AH68" s="23"/>
      <c r="AI68" s="23"/>
      <c r="AJ68" s="23"/>
      <c r="AK68" s="23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50"/>
    </row>
    <row r="69" spans="1:52" ht="14.25" customHeight="1" x14ac:dyDescent="0.25">
      <c r="A69" s="1" t="s">
        <v>42</v>
      </c>
      <c r="B69" s="35">
        <v>2638</v>
      </c>
      <c r="C69" s="35">
        <v>2542</v>
      </c>
      <c r="D69" s="3">
        <f>Kunnat!D69+Kuntayhtymät!D69</f>
        <v>2687.8788643278458</v>
      </c>
      <c r="E69" s="3">
        <f>Kunnat!E69+Kuntayhtymät!E69</f>
        <v>3156.4014847630147</v>
      </c>
      <c r="F69" s="3">
        <f>Kunnat!F69+Kuntayhtymät!F69</f>
        <v>3076.7940000000003</v>
      </c>
      <c r="G69" s="3">
        <f>Kunnat!G69+Kuntayhtymät!G69</f>
        <v>3339.0120000000002</v>
      </c>
      <c r="H69" s="3">
        <f>Kunnat!H69+Kuntayhtymät!H69</f>
        <v>3309.5860000000002</v>
      </c>
      <c r="I69" s="3">
        <f>Kunnat!I69+Kuntayhtymät!I69</f>
        <v>3225.0410000000002</v>
      </c>
      <c r="J69" s="3">
        <v>3186.6079999999997</v>
      </c>
      <c r="K69" s="3">
        <v>4121.9840000000004</v>
      </c>
      <c r="L69" s="76">
        <v>4302.299</v>
      </c>
      <c r="M69" s="76">
        <v>4043</v>
      </c>
      <c r="N69" s="76">
        <v>4220.92</v>
      </c>
      <c r="O69" s="3">
        <v>4759.08</v>
      </c>
      <c r="P69" s="3">
        <v>4535.4880000000003</v>
      </c>
      <c r="Q69" s="3">
        <v>4197.3710000000001</v>
      </c>
      <c r="R69" s="3">
        <v>5159.34</v>
      </c>
      <c r="S69" s="3">
        <f>Kunnat!S69+Kuntayhtymät!S69</f>
        <v>5264.2049999999999</v>
      </c>
      <c r="T69" s="3">
        <f>Kunnat!T69+Kuntayhtymät!T69</f>
        <v>5071.8829999999998</v>
      </c>
      <c r="U69" s="3">
        <f>Kunnat!U69+Kuntayhtymät!U69</f>
        <v>5633.442</v>
      </c>
      <c r="V69" s="3">
        <f>Kunnat!V69+Kuntayhtymät!V69</f>
        <v>6351.415</v>
      </c>
      <c r="W69" s="3">
        <f>Kunnat!W69+Kuntayhtymät!W69</f>
        <v>5990.0499999999993</v>
      </c>
      <c r="X69" s="3">
        <f>Kunnat!X69+Kuntayhtymät!X69</f>
        <v>6272.0569999999998</v>
      </c>
      <c r="Y69" s="3">
        <f>Kunnat!Y69+Kuntayhtymät!Y69</f>
        <v>7904.3739999999998</v>
      </c>
      <c r="Z69" s="3">
        <f>Kunnat!Z69+Kuntayhtymät!Z69</f>
        <v>8101.7790000000005</v>
      </c>
      <c r="AA69" s="3"/>
      <c r="AB69" s="18">
        <f t="shared" ref="AB69:AU69" si="32">100*(C69-B69)/B69</f>
        <v>-3.639120545868082</v>
      </c>
      <c r="AC69" s="18">
        <f t="shared" si="32"/>
        <v>5.7387436793015656</v>
      </c>
      <c r="AD69" s="18">
        <f t="shared" si="32"/>
        <v>17.430942541837045</v>
      </c>
      <c r="AE69" s="18">
        <f t="shared" si="32"/>
        <v>-2.5220962905798192</v>
      </c>
      <c r="AF69" s="18">
        <f t="shared" si="32"/>
        <v>8.5224425164635598</v>
      </c>
      <c r="AG69" s="18">
        <f t="shared" si="32"/>
        <v>-0.88127865368557912</v>
      </c>
      <c r="AH69" s="18">
        <f t="shared" si="32"/>
        <v>-2.5545491188323877</v>
      </c>
      <c r="AI69" s="18">
        <f t="shared" si="32"/>
        <v>-1.1917057798645179</v>
      </c>
      <c r="AJ69" s="18">
        <f t="shared" si="32"/>
        <v>29.35334374356685</v>
      </c>
      <c r="AK69" s="18">
        <f t="shared" si="32"/>
        <v>4.3744711284662818</v>
      </c>
      <c r="AL69" s="49">
        <f t="shared" si="32"/>
        <v>-6.0269869667356915</v>
      </c>
      <c r="AM69" s="49">
        <f t="shared" si="32"/>
        <v>4.4006925550333928</v>
      </c>
      <c r="AN69" s="49">
        <f t="shared" si="32"/>
        <v>12.749827051922326</v>
      </c>
      <c r="AO69" s="49">
        <f t="shared" si="32"/>
        <v>-4.6982189835010058</v>
      </c>
      <c r="AP69" s="49">
        <f t="shared" si="32"/>
        <v>-7.4549199556916514</v>
      </c>
      <c r="AQ69" s="49">
        <f t="shared" si="32"/>
        <v>22.918369617553466</v>
      </c>
      <c r="AR69" s="49">
        <f t="shared" si="32"/>
        <v>2.0325274162974289</v>
      </c>
      <c r="AS69" s="49">
        <f t="shared" si="32"/>
        <v>-3.653391157829152</v>
      </c>
      <c r="AT69" s="49">
        <f t="shared" si="32"/>
        <v>11.072002252417894</v>
      </c>
      <c r="AU69" s="49">
        <f t="shared" si="32"/>
        <v>12.744836993085221</v>
      </c>
      <c r="AV69" s="49">
        <f t="shared" ref="AV69" si="33">100*(W69-V69)/V69</f>
        <v>-5.6895195794952897</v>
      </c>
      <c r="AW69" s="49">
        <f t="shared" ref="AW69:AY69" si="34">100*(X69-W69)/W69</f>
        <v>4.7079239739234326</v>
      </c>
      <c r="AX69" s="49">
        <f t="shared" si="34"/>
        <v>26.025225854930849</v>
      </c>
      <c r="AY69" s="49">
        <f t="shared" si="34"/>
        <v>2.4974147225321151</v>
      </c>
      <c r="AZ69" s="50">
        <f>100*(EXP(LN(Z69/O69)/11)-1)</f>
        <v>4.9555036448011958</v>
      </c>
    </row>
    <row r="70" spans="1:52" ht="7.5" customHeight="1" x14ac:dyDescent="0.25">
      <c r="A70" s="1"/>
      <c r="B70" s="35"/>
      <c r="C70" s="35"/>
      <c r="AD70" s="23"/>
      <c r="AE70" s="23"/>
      <c r="AF70" s="23"/>
      <c r="AG70" s="23"/>
      <c r="AH70" s="23"/>
      <c r="AI70" s="23"/>
      <c r="AJ70" s="23"/>
      <c r="AK70" s="23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50"/>
    </row>
    <row r="71" spans="1:52" ht="14.25" customHeight="1" x14ac:dyDescent="0.25">
      <c r="A71" s="1" t="s">
        <v>31</v>
      </c>
      <c r="B71" s="35">
        <v>4104</v>
      </c>
      <c r="C71" s="35">
        <v>4094</v>
      </c>
      <c r="D71" s="3">
        <f>Kunnat!D71+Kuntayhtymät!D71-118.273</f>
        <v>3866.9471495863409</v>
      </c>
      <c r="E71" s="3">
        <f>Kunnat!E71+Kuntayhtymät!E71-63.987</f>
        <v>4031.5657745121284</v>
      </c>
      <c r="F71" s="3">
        <f>Kunnat!F71+Kuntayhtymät!F71-28.965</f>
        <v>4315.2560000000003</v>
      </c>
      <c r="G71" s="3">
        <f>Kunnat!G71+Kuntayhtymät!G71-26.359</f>
        <v>4832.9379999999992</v>
      </c>
      <c r="H71" s="3">
        <f>Kunnat!H71+Kuntayhtymät!H71-24.812</f>
        <v>5604.8719999999994</v>
      </c>
      <c r="I71" s="3">
        <f>Kunnat!I71+Kuntayhtymät!I71-26.103</f>
        <v>6620.44</v>
      </c>
      <c r="J71" s="3">
        <v>7704.7159999999994</v>
      </c>
      <c r="K71" s="3">
        <v>8407.9860000000008</v>
      </c>
      <c r="L71" s="76">
        <v>9011.3520000000008</v>
      </c>
      <c r="M71" s="76">
        <v>9596.3549999999996</v>
      </c>
      <c r="N71" s="76">
        <v>10882.572000000002</v>
      </c>
      <c r="O71" s="3">
        <v>11672.184999999999</v>
      </c>
      <c r="P71" s="3">
        <v>12296.140000000001</v>
      </c>
      <c r="Q71" s="3">
        <v>13810.441000000001</v>
      </c>
      <c r="R71" s="3">
        <v>15554.41</v>
      </c>
      <c r="S71" s="3">
        <f>Kunnat!S71+Kuntayhtymät!S71-1194.64</f>
        <v>16478.617000000002</v>
      </c>
      <c r="T71" s="3">
        <f>Kunnat!T71+Kuntayhtymät!T71-1196</f>
        <v>17351.287</v>
      </c>
      <c r="U71" s="3">
        <f>Kunnat!U71+Kuntayhtymät!U71-1196</f>
        <v>18065.361000000001</v>
      </c>
      <c r="V71" s="3">
        <f>Kunnat!V71+Kuntayhtymät!V71-1217</f>
        <v>18370.462</v>
      </c>
      <c r="W71" s="3">
        <f>Kunnat!W71+Kuntayhtymät!W71-1206</f>
        <v>19430.124</v>
      </c>
      <c r="X71" s="3">
        <f>Kunnat!X71+Kuntayhtymät!X71-1179</f>
        <v>21895.57</v>
      </c>
      <c r="Y71" s="3">
        <f>Kunnat!Y71+Kuntayhtymät!Y71-1166</f>
        <v>23353.058000000001</v>
      </c>
      <c r="Z71" s="3">
        <f>Kunnat!Z71+Kuntayhtymät!Z71-1146</f>
        <v>24113.685000000001</v>
      </c>
      <c r="AA71" s="3"/>
      <c r="AB71" s="18">
        <f t="shared" ref="AB71:AU71" si="35">100*(C71-B71)/B71</f>
        <v>-0.24366471734892786</v>
      </c>
      <c r="AC71" s="18">
        <f t="shared" si="35"/>
        <v>-5.5459904839682252</v>
      </c>
      <c r="AD71" s="18">
        <f t="shared" si="35"/>
        <v>4.2570694286162496</v>
      </c>
      <c r="AE71" s="18">
        <f t="shared" si="35"/>
        <v>7.0367257129074634</v>
      </c>
      <c r="AF71" s="18">
        <f t="shared" si="35"/>
        <v>11.996553622774613</v>
      </c>
      <c r="AG71" s="18">
        <f t="shared" si="35"/>
        <v>15.97235470432272</v>
      </c>
      <c r="AH71" s="18">
        <f t="shared" si="35"/>
        <v>18.119378997415112</v>
      </c>
      <c r="AI71" s="18">
        <f t="shared" si="35"/>
        <v>16.37770299255034</v>
      </c>
      <c r="AJ71" s="18">
        <f t="shared" si="35"/>
        <v>9.1277861507160214</v>
      </c>
      <c r="AK71" s="18">
        <f t="shared" si="35"/>
        <v>7.1761061448009063</v>
      </c>
      <c r="AL71" s="49">
        <f t="shared" si="35"/>
        <v>6.4918449528993953</v>
      </c>
      <c r="AM71" s="49">
        <f t="shared" si="35"/>
        <v>13.403182770958374</v>
      </c>
      <c r="AN71" s="49">
        <f t="shared" si="35"/>
        <v>7.2557571868120645</v>
      </c>
      <c r="AO71" s="49">
        <f t="shared" si="35"/>
        <v>5.3456572184214162</v>
      </c>
      <c r="AP71" s="49">
        <f t="shared" si="35"/>
        <v>12.315255031253704</v>
      </c>
      <c r="AQ71" s="49">
        <f t="shared" si="35"/>
        <v>12.62790232404598</v>
      </c>
      <c r="AR71" s="49">
        <f t="shared" si="35"/>
        <v>5.9417682830785745</v>
      </c>
      <c r="AS71" s="49">
        <f t="shared" si="35"/>
        <v>5.2957720905825907</v>
      </c>
      <c r="AT71" s="49">
        <f t="shared" si="35"/>
        <v>4.1153950136378965</v>
      </c>
      <c r="AU71" s="49">
        <f t="shared" si="35"/>
        <v>1.6888729762997747</v>
      </c>
      <c r="AV71" s="49">
        <f t="shared" ref="AV71" si="36">100*(W71-V71)/V71</f>
        <v>5.7682925992824803</v>
      </c>
      <c r="AW71" s="49">
        <f t="shared" ref="AW71:AY71" si="37">100*(X71-W71)/W71</f>
        <v>12.688781605305246</v>
      </c>
      <c r="AX71" s="49">
        <f t="shared" si="37"/>
        <v>6.6565428531890287</v>
      </c>
      <c r="AY71" s="49">
        <f t="shared" si="37"/>
        <v>3.2570766535157851</v>
      </c>
      <c r="AZ71" s="50">
        <f>100*(EXP(LN(Z71/O71)/11)-1)</f>
        <v>6.8185043606063811</v>
      </c>
    </row>
    <row r="72" spans="1:52" ht="8.25" customHeight="1" x14ac:dyDescent="0.2">
      <c r="A72" s="1"/>
      <c r="B72" s="1"/>
      <c r="C72" s="1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</row>
    <row r="73" spans="1:52" x14ac:dyDescent="0.2"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</row>
    <row r="74" spans="1:52" x14ac:dyDescent="0.2"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</row>
    <row r="75" spans="1:52" x14ac:dyDescent="0.2"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</row>
    <row r="76" spans="1:52" x14ac:dyDescent="0.2"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</row>
    <row r="77" spans="1:52" x14ac:dyDescent="0.2"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</row>
    <row r="78" spans="1:52" x14ac:dyDescent="0.2"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</row>
    <row r="79" spans="1:52" x14ac:dyDescent="0.2"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</row>
    <row r="80" spans="1:52" x14ac:dyDescent="0.2"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</row>
    <row r="81" spans="38:52" x14ac:dyDescent="0.2"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</row>
    <row r="82" spans="38:52" x14ac:dyDescent="0.2"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</row>
    <row r="83" spans="38:52" x14ac:dyDescent="0.2"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</row>
    <row r="84" spans="38:52" x14ac:dyDescent="0.2"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</row>
    <row r="85" spans="38:52" x14ac:dyDescent="0.2"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</row>
    <row r="86" spans="38:52" x14ac:dyDescent="0.2"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</row>
    <row r="87" spans="38:52" x14ac:dyDescent="0.2"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</row>
    <row r="88" spans="38:52" x14ac:dyDescent="0.2"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</row>
    <row r="89" spans="38:52" x14ac:dyDescent="0.2"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</row>
    <row r="90" spans="38:52" x14ac:dyDescent="0.2"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</row>
    <row r="91" spans="38:52" x14ac:dyDescent="0.2"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</row>
    <row r="92" spans="38:52" x14ac:dyDescent="0.2"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</row>
    <row r="93" spans="38:52" x14ac:dyDescent="0.2"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</row>
    <row r="94" spans="38:52" x14ac:dyDescent="0.2"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</row>
    <row r="95" spans="38:52" x14ac:dyDescent="0.2"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</row>
    <row r="96" spans="38:52" x14ac:dyDescent="0.2"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</row>
    <row r="97" spans="38:52" x14ac:dyDescent="0.2"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</row>
    <row r="98" spans="38:52" x14ac:dyDescent="0.2"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</row>
    <row r="99" spans="38:52" x14ac:dyDescent="0.2"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</row>
    <row r="100" spans="38:52" x14ac:dyDescent="0.2"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</row>
    <row r="101" spans="38:52" x14ac:dyDescent="0.2"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</row>
    <row r="102" spans="38:52" x14ac:dyDescent="0.2"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</row>
    <row r="103" spans="38:52" x14ac:dyDescent="0.2"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</row>
    <row r="104" spans="38:52" x14ac:dyDescent="0.2"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</row>
    <row r="105" spans="38:52" x14ac:dyDescent="0.2"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</row>
    <row r="106" spans="38:52" x14ac:dyDescent="0.2"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</row>
    <row r="107" spans="38:52" x14ac:dyDescent="0.2"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</row>
    <row r="108" spans="38:52" x14ac:dyDescent="0.2"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</row>
    <row r="109" spans="38:52" x14ac:dyDescent="0.2"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</row>
  </sheetData>
  <phoneticPr fontId="6" type="noConversion"/>
  <pageMargins left="0.11811023622047245" right="0.11811023622047245" top="0.70866141732283472" bottom="0.70866141732283472" header="0.51181102362204722" footer="0.51181102362204722"/>
  <pageSetup paperSize="9" scale="92" fitToHeight="0" orientation="landscape" r:id="rId1"/>
  <headerFooter alignWithMargins="0"/>
  <rowBreaks count="1" manualBreakCount="1">
    <brk id="37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DAD1DDF8-A483-43FB-93C3-85964F067AB1}"/>
</file>

<file path=customXml/itemProps2.xml><?xml version="1.0" encoding="utf-8"?>
<ds:datastoreItem xmlns:ds="http://schemas.openxmlformats.org/officeDocument/2006/customXml" ds:itemID="{DF4519ED-9919-4D33-A8A4-C973DFE6980B}"/>
</file>

<file path=customXml/itemProps3.xml><?xml version="1.0" encoding="utf-8"?>
<ds:datastoreItem xmlns:ds="http://schemas.openxmlformats.org/officeDocument/2006/customXml" ds:itemID="{B65EB803-4262-44D3-BAF2-FF0C90D5E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Kunnat</vt:lpstr>
      <vt:lpstr>Kuntayhtymät</vt:lpstr>
      <vt:lpstr>Yhteensä</vt:lpstr>
      <vt:lpstr>Kunnat!Tulostusalue</vt:lpstr>
      <vt:lpstr>Kuntayhtymät!Tulostusalue</vt:lpstr>
      <vt:lpstr>Yhteensä!Tulostusalue</vt:lpstr>
    </vt:vector>
  </TitlesOfParts>
  <Company>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2017-12-05T10:54:14Z</cp:lastPrinted>
  <dcterms:created xsi:type="dcterms:W3CDTF">2006-01-27T10:19:20Z</dcterms:created>
  <dcterms:modified xsi:type="dcterms:W3CDTF">2022-10-11T10:11:44Z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720cc24b-8219-4fb6-8ef8-8b8bb70163a3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0x01010066000AE223E22E49AE9A6766EBE498ED</vt:lpwstr>
  </property>
</Properties>
</file>