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aaro_hottinen_kuntaliitto_fi/Documents/Tiedostot/Askartelupöytä/Kuntien ja kuntayhtymien ostot/"/>
    </mc:Choice>
  </mc:AlternateContent>
  <xr:revisionPtr revIDLastSave="84" documentId="8_{8C47C451-1638-4915-A224-348924E8FF21}" xr6:coauthVersionLast="47" xr6:coauthVersionMax="47" xr10:uidLastSave="{589B6AE5-A2BB-45C6-A721-79DC915A71EE}"/>
  <bookViews>
    <workbookView xWindow="-28920" yWindow="7305" windowWidth="29040" windowHeight="17640" xr2:uid="{00000000-000D-0000-FFFF-FFFF00000000}"/>
  </bookViews>
  <sheets>
    <sheet name="taulukko" sheetId="1" r:id="rId1"/>
  </sheets>
  <definedNames>
    <definedName name="_xlnm.Print_Area" localSheetId="0">taulukko!$A$1:$AQ$36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26" i="1" l="1"/>
  <c r="Z11" i="1"/>
  <c r="Y26" i="1" l="1"/>
  <c r="V26" i="1"/>
  <c r="Y11" i="1" l="1"/>
  <c r="W26" i="1"/>
  <c r="AU13" i="1"/>
  <c r="AU14" i="1"/>
  <c r="AU15" i="1"/>
  <c r="AU19" i="1"/>
  <c r="AU20" i="1"/>
  <c r="AU21" i="1"/>
  <c r="AU26" i="1" l="1"/>
  <c r="W11" i="1" l="1"/>
  <c r="AT26" i="1" l="1"/>
  <c r="AT22" i="1"/>
  <c r="AT21" i="1"/>
  <c r="AT20" i="1"/>
  <c r="AT19" i="1"/>
  <c r="AT15" i="1"/>
  <c r="AT14" i="1"/>
  <c r="AT13" i="1"/>
  <c r="V17" i="1"/>
  <c r="V11" i="1"/>
  <c r="AU11" i="1" l="1"/>
  <c r="V24" i="1"/>
  <c r="U17" i="1"/>
  <c r="AT17" i="1" s="1"/>
  <c r="U11" i="1"/>
  <c r="AT11" i="1" s="1"/>
  <c r="AS19" i="1"/>
  <c r="AS20" i="1"/>
  <c r="AS21" i="1"/>
  <c r="AS22" i="1"/>
  <c r="AS26" i="1"/>
  <c r="V27" i="1" l="1"/>
  <c r="U24" i="1"/>
  <c r="AT24" i="1" s="1"/>
  <c r="AR19" i="1"/>
  <c r="AR20" i="1"/>
  <c r="AR21" i="1"/>
  <c r="AR26" i="1"/>
  <c r="U27" i="1" l="1"/>
  <c r="S22" i="1"/>
  <c r="AR22" i="1" s="1"/>
  <c r="S17" i="1" l="1"/>
  <c r="T17" i="1"/>
  <c r="AR17" i="1" l="1"/>
  <c r="AS17" i="1"/>
  <c r="T15" i="1"/>
  <c r="AS15" i="1" s="1"/>
  <c r="T14" i="1"/>
  <c r="AS14" i="1" s="1"/>
  <c r="T13" i="1"/>
  <c r="AS13" i="1" s="1"/>
  <c r="S14" i="1"/>
  <c r="AR14" i="1" l="1"/>
  <c r="T11" i="1"/>
  <c r="AS11" i="1" s="1"/>
  <c r="R22" i="1"/>
  <c r="T24" i="1" l="1"/>
  <c r="AS24" i="1" s="1"/>
  <c r="S15" i="1"/>
  <c r="AR15" i="1" s="1"/>
  <c r="AQ14" i="1"/>
  <c r="S13" i="1"/>
  <c r="AQ26" i="1"/>
  <c r="AQ22" i="1"/>
  <c r="AQ13" i="1" l="1"/>
  <c r="S11" i="1"/>
  <c r="AR13" i="1"/>
  <c r="T27" i="1"/>
  <c r="AP22" i="1"/>
  <c r="R21" i="1"/>
  <c r="R20" i="1"/>
  <c r="AQ20" i="1" s="1"/>
  <c r="R19" i="1"/>
  <c r="R15" i="1"/>
  <c r="AP26" i="1"/>
  <c r="AP14" i="1"/>
  <c r="AP13" i="1"/>
  <c r="AP19" i="1" l="1"/>
  <c r="AQ19" i="1"/>
  <c r="R11" i="1"/>
  <c r="AQ15" i="1"/>
  <c r="AP21" i="1"/>
  <c r="AQ21" i="1"/>
  <c r="AQ11" i="1"/>
  <c r="S24" i="1"/>
  <c r="AR11" i="1"/>
  <c r="R17" i="1"/>
  <c r="AP20" i="1"/>
  <c r="P15" i="1"/>
  <c r="AP15" i="1" s="1"/>
  <c r="R24" i="1" l="1"/>
  <c r="R27" i="1" s="1"/>
  <c r="AQ17" i="1"/>
  <c r="AR24" i="1"/>
  <c r="S27" i="1"/>
  <c r="P11" i="1"/>
  <c r="AP11" i="1" s="1"/>
  <c r="AO26" i="1"/>
  <c r="AO14" i="1"/>
  <c r="AO13" i="1"/>
  <c r="AQ24" i="1" l="1"/>
  <c r="P17" i="1"/>
  <c r="AP17" i="1" s="1"/>
  <c r="O22" i="1"/>
  <c r="AO22" i="1" s="1"/>
  <c r="O21" i="1"/>
  <c r="AO21" i="1" s="1"/>
  <c r="O20" i="1"/>
  <c r="AO20" i="1" s="1"/>
  <c r="O19" i="1"/>
  <c r="AO19" i="1" s="1"/>
  <c r="O15" i="1"/>
  <c r="AO15" i="1" s="1"/>
  <c r="P24" i="1" l="1"/>
  <c r="AP24" i="1" s="1"/>
  <c r="AN26" i="1"/>
  <c r="AN14" i="1"/>
  <c r="AN13" i="1"/>
  <c r="O11" i="1"/>
  <c r="AO11" i="1" s="1"/>
  <c r="N22" i="1"/>
  <c r="N21" i="1"/>
  <c r="AN21" i="1" s="1"/>
  <c r="N20" i="1"/>
  <c r="AN20" i="1" s="1"/>
  <c r="N19" i="1"/>
  <c r="AN19" i="1" s="1"/>
  <c r="N15" i="1"/>
  <c r="N11" i="1" s="1"/>
  <c r="AM26" i="1"/>
  <c r="AM14" i="1"/>
  <c r="AM13" i="1"/>
  <c r="M22" i="1"/>
  <c r="M21" i="1"/>
  <c r="M20" i="1"/>
  <c r="M19" i="1"/>
  <c r="AL26" i="1"/>
  <c r="AL14" i="1"/>
  <c r="AL13" i="1"/>
  <c r="M15" i="1"/>
  <c r="M11" i="1" s="1"/>
  <c r="L21" i="1"/>
  <c r="L22" i="1"/>
  <c r="L20" i="1"/>
  <c r="L19" i="1"/>
  <c r="L15" i="1"/>
  <c r="L11" i="1" s="1"/>
  <c r="AK26" i="1"/>
  <c r="AK14" i="1"/>
  <c r="AK13" i="1"/>
  <c r="K22" i="1"/>
  <c r="K21" i="1"/>
  <c r="K20" i="1"/>
  <c r="K19" i="1"/>
  <c r="K15" i="1"/>
  <c r="K11" i="1" s="1"/>
  <c r="AJ26" i="1"/>
  <c r="AJ14" i="1"/>
  <c r="AJ13" i="1"/>
  <c r="J15" i="1"/>
  <c r="J11" i="1" s="1"/>
  <c r="B15" i="1"/>
  <c r="J22" i="1"/>
  <c r="J21" i="1"/>
  <c r="J20" i="1"/>
  <c r="J19" i="1"/>
  <c r="B19" i="1"/>
  <c r="B20" i="1"/>
  <c r="B21" i="1"/>
  <c r="B22" i="1"/>
  <c r="AI26" i="1"/>
  <c r="I15" i="1"/>
  <c r="I11" i="1" s="1"/>
  <c r="I19" i="1"/>
  <c r="I20" i="1"/>
  <c r="I21" i="1"/>
  <c r="I22" i="1"/>
  <c r="AI14" i="1"/>
  <c r="AI13" i="1"/>
  <c r="AH26" i="1"/>
  <c r="H15" i="1"/>
  <c r="H19" i="1"/>
  <c r="H20" i="1"/>
  <c r="H21" i="1"/>
  <c r="H22" i="1"/>
  <c r="AH14" i="1"/>
  <c r="AH13" i="1"/>
  <c r="AG26" i="1"/>
  <c r="G15" i="1"/>
  <c r="G19" i="1"/>
  <c r="G20" i="1"/>
  <c r="G21" i="1"/>
  <c r="G22" i="1"/>
  <c r="AG14" i="1"/>
  <c r="AG13" i="1"/>
  <c r="AF26" i="1"/>
  <c r="F15" i="1"/>
  <c r="F11" i="1" s="1"/>
  <c r="F19" i="1"/>
  <c r="F20" i="1"/>
  <c r="AF20" i="1" s="1"/>
  <c r="F21" i="1"/>
  <c r="F22" i="1"/>
  <c r="AF14" i="1"/>
  <c r="AF13" i="1"/>
  <c r="AE26" i="1"/>
  <c r="E15" i="1"/>
  <c r="E11" i="1" s="1"/>
  <c r="E19" i="1"/>
  <c r="E20" i="1"/>
  <c r="E21" i="1"/>
  <c r="E22" i="1"/>
  <c r="AE14" i="1"/>
  <c r="AE13" i="1"/>
  <c r="AC26" i="1"/>
  <c r="D13" i="1"/>
  <c r="D15" i="1"/>
  <c r="D19" i="1"/>
  <c r="D20" i="1"/>
  <c r="D21" i="1"/>
  <c r="D22" i="1"/>
  <c r="C15" i="1"/>
  <c r="AC15" i="1" s="1"/>
  <c r="C19" i="1"/>
  <c r="C20" i="1"/>
  <c r="C21" i="1"/>
  <c r="C22" i="1"/>
  <c r="AC14" i="1"/>
  <c r="AD26" i="1"/>
  <c r="AD14" i="1"/>
  <c r="AB26" i="1"/>
  <c r="AB14" i="1"/>
  <c r="AB13" i="1"/>
  <c r="AG20" i="1" l="1"/>
  <c r="AC19" i="1"/>
  <c r="AK21" i="1"/>
  <c r="AM20" i="1"/>
  <c r="AL21" i="1"/>
  <c r="AM22" i="1"/>
  <c r="AE15" i="1"/>
  <c r="AK19" i="1"/>
  <c r="AD15" i="1"/>
  <c r="AF21" i="1"/>
  <c r="AH20" i="1"/>
  <c r="AK22" i="1"/>
  <c r="D17" i="1"/>
  <c r="AD20" i="1"/>
  <c r="AD21" i="1"/>
  <c r="H17" i="1"/>
  <c r="AH19" i="1"/>
  <c r="AD19" i="1"/>
  <c r="J17" i="1"/>
  <c r="J24" i="1" s="1"/>
  <c r="AF15" i="1"/>
  <c r="AJ21" i="1"/>
  <c r="AI15" i="1"/>
  <c r="AJ22" i="1"/>
  <c r="AG22" i="1"/>
  <c r="B11" i="1"/>
  <c r="D11" i="1"/>
  <c r="AD11" i="1" s="1"/>
  <c r="AE19" i="1"/>
  <c r="G17" i="1"/>
  <c r="M17" i="1"/>
  <c r="M24" i="1" s="1"/>
  <c r="C17" i="1"/>
  <c r="AM21" i="1"/>
  <c r="AD13" i="1"/>
  <c r="K17" i="1"/>
  <c r="AG15" i="1"/>
  <c r="AI19" i="1"/>
  <c r="AJ20" i="1"/>
  <c r="AK20" i="1"/>
  <c r="AH15" i="1"/>
  <c r="AF19" i="1"/>
  <c r="AB21" i="1"/>
  <c r="AE11" i="1"/>
  <c r="AH21" i="1"/>
  <c r="AH22" i="1"/>
  <c r="AI20" i="1"/>
  <c r="B17" i="1"/>
  <c r="L17" i="1"/>
  <c r="AL19" i="1"/>
  <c r="N17" i="1"/>
  <c r="AE21" i="1"/>
  <c r="AB20" i="1"/>
  <c r="AC21" i="1"/>
  <c r="AC13" i="1"/>
  <c r="I17" i="1"/>
  <c r="I24" i="1" s="1"/>
  <c r="P27" i="1"/>
  <c r="AL11" i="1"/>
  <c r="AJ11" i="1"/>
  <c r="AK11" i="1"/>
  <c r="AI11" i="1"/>
  <c r="AM11" i="1"/>
  <c r="AB15" i="1"/>
  <c r="AN15" i="1"/>
  <c r="AG19" i="1"/>
  <c r="AJ15" i="1"/>
  <c r="AL15" i="1"/>
  <c r="E17" i="1"/>
  <c r="AK15" i="1"/>
  <c r="AC20" i="1"/>
  <c r="C11" i="1"/>
  <c r="AE20" i="1"/>
  <c r="AI22" i="1"/>
  <c r="AJ19" i="1"/>
  <c r="AL22" i="1"/>
  <c r="AL20" i="1"/>
  <c r="AM15" i="1"/>
  <c r="AM19" i="1"/>
  <c r="AN11" i="1"/>
  <c r="AN22" i="1"/>
  <c r="G11" i="1"/>
  <c r="H11" i="1"/>
  <c r="AI21" i="1"/>
  <c r="F17" i="1"/>
  <c r="AB19" i="1"/>
  <c r="AG21" i="1"/>
  <c r="O17" i="1"/>
  <c r="AO17" i="1" s="1"/>
  <c r="AM17" i="1" l="1"/>
  <c r="AL17" i="1"/>
  <c r="AB17" i="1"/>
  <c r="AB22" i="1" s="1"/>
  <c r="AC17" i="1"/>
  <c r="AC22" i="1" s="1"/>
  <c r="L24" i="1"/>
  <c r="AL24" i="1" s="1"/>
  <c r="AJ17" i="1"/>
  <c r="AI17" i="1"/>
  <c r="AG17" i="1"/>
  <c r="D24" i="1"/>
  <c r="D27" i="1" s="1"/>
  <c r="AC11" i="1"/>
  <c r="AH17" i="1"/>
  <c r="K24" i="1"/>
  <c r="AJ24" i="1" s="1"/>
  <c r="AK17" i="1"/>
  <c r="B24" i="1"/>
  <c r="N24" i="1"/>
  <c r="AM24" i="1" s="1"/>
  <c r="AN17" i="1"/>
  <c r="H24" i="1"/>
  <c r="AH24" i="1" s="1"/>
  <c r="AG11" i="1"/>
  <c r="AD17" i="1"/>
  <c r="AD22" i="1" s="1"/>
  <c r="E24" i="1"/>
  <c r="M27" i="1"/>
  <c r="AE17" i="1"/>
  <c r="AE22" i="1" s="1"/>
  <c r="F24" i="1"/>
  <c r="AF11" i="1"/>
  <c r="G24" i="1"/>
  <c r="AB11" i="1"/>
  <c r="C24" i="1"/>
  <c r="AC24" i="1" s="1"/>
  <c r="O24" i="1"/>
  <c r="AO24" i="1" s="1"/>
  <c r="I27" i="1"/>
  <c r="AI24" i="1"/>
  <c r="J27" i="1"/>
  <c r="AH11" i="1"/>
  <c r="AF17" i="1"/>
  <c r="AF22" i="1" s="1"/>
  <c r="L27" i="1" l="1"/>
  <c r="AK24" i="1"/>
  <c r="N27" i="1"/>
  <c r="K27" i="1"/>
  <c r="B27" i="1"/>
  <c r="AE24" i="1"/>
  <c r="F27" i="1"/>
  <c r="E27" i="1"/>
  <c r="AD24" i="1"/>
  <c r="AF24" i="1"/>
  <c r="G27" i="1"/>
  <c r="C27" i="1"/>
  <c r="AB24" i="1"/>
  <c r="O27" i="1"/>
  <c r="AN24" i="1"/>
  <c r="H27" i="1"/>
  <c r="AG24" i="1"/>
  <c r="Y24" i="1"/>
  <c r="Y27" i="1" s="1"/>
  <c r="Y22" i="1"/>
  <c r="Z27" i="1"/>
  <c r="Z24" i="1"/>
  <c r="Z22" i="1"/>
  <c r="W24" i="1"/>
  <c r="W27" i="1" s="1"/>
  <c r="AU17" i="1"/>
  <c r="W22" i="1"/>
  <c r="AU22" i="1"/>
  <c r="AU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Hottinen Aaro</author>
  </authors>
  <commentList>
    <comment ref="Z26" authorId="0" shapeId="0" xr:uid="{A10158B2-9694-4EC9-8802-26D1B0E07D35}">
      <text>
        <r>
          <rPr>
            <b/>
            <sz val="9"/>
            <color indexed="81"/>
            <rFont val="Tahoma"/>
            <charset val="1"/>
          </rPr>
          <t>Hottinen Aaro:</t>
        </r>
        <r>
          <rPr>
            <sz val="9"/>
            <color indexed="81"/>
            <rFont val="Tahoma"/>
            <charset val="1"/>
          </rPr>
          <t xml:space="preserve">
Tulee päivittymään</t>
        </r>
      </text>
    </comment>
  </commentList>
</comments>
</file>

<file path=xl/sharedStrings.xml><?xml version="1.0" encoding="utf-8"?>
<sst xmlns="http://schemas.openxmlformats.org/spreadsheetml/2006/main" count="71" uniqueCount="49">
  <si>
    <t xml:space="preserve"> - Muut investointihankinnat</t>
  </si>
  <si>
    <t>HANKINNAT YHTEENSÄ</t>
  </si>
  <si>
    <t xml:space="preserve"> - Vuokrat</t>
  </si>
  <si>
    <t xml:space="preserve"> - Aineet, tarvikkeet, tavarat</t>
  </si>
  <si>
    <t>mrd. €</t>
  </si>
  <si>
    <t>Hankintojen osuus, %</t>
  </si>
  <si>
    <t>00-01</t>
  </si>
  <si>
    <t>01-02</t>
  </si>
  <si>
    <t>02-03</t>
  </si>
  <si>
    <t>03-04</t>
  </si>
  <si>
    <t>04-05</t>
  </si>
  <si>
    <t>05-06</t>
  </si>
  <si>
    <t>06-07</t>
  </si>
  <si>
    <t>Muutos, %</t>
  </si>
  <si>
    <t>07-08</t>
  </si>
  <si>
    <t xml:space="preserve"> - Rakennukset</t>
  </si>
  <si>
    <t xml:space="preserve"> - Maa- ja vesialueet</t>
  </si>
  <si>
    <t xml:space="preserve"> - Kiinteät rakenteet ja laitteet</t>
  </si>
  <si>
    <t>08-09</t>
  </si>
  <si>
    <t>09-10</t>
  </si>
  <si>
    <t>Käyttötaloushankinnat yht.</t>
  </si>
  <si>
    <t>10-11</t>
  </si>
  <si>
    <t>11-12</t>
  </si>
  <si>
    <t xml:space="preserve">1) Palveluiden ostot eivät sisällä kuntien ja kuntayhtymien keskinäisiä ostoja. Ne on eliminoitu vähentämällä palveluiden ostoista kuntien ja kuntayhtymien </t>
  </si>
  <si>
    <t xml:space="preserve">   saamat myyntitulot muilta kunnilta ja kuntayhtymiltä.</t>
  </si>
  <si>
    <t>12-13</t>
  </si>
  <si>
    <t>13-14</t>
  </si>
  <si>
    <r>
      <t>Investointihankinnat yht.</t>
    </r>
    <r>
      <rPr>
        <b/>
        <vertAlign val="superscript"/>
        <sz val="10"/>
        <rFont val="Arial Narrow"/>
        <family val="2"/>
      </rPr>
      <t xml:space="preserve"> </t>
    </r>
    <r>
      <rPr>
        <b/>
        <vertAlign val="superscript"/>
        <sz val="12"/>
        <rFont val="Arial Narrow"/>
        <family val="2"/>
      </rPr>
      <t>2)</t>
    </r>
  </si>
  <si>
    <r>
      <t xml:space="preserve"> - Palveluiden ostot </t>
    </r>
    <r>
      <rPr>
        <b/>
        <vertAlign val="superscript"/>
        <sz val="12"/>
        <rFont val="Arial Narrow"/>
        <family val="2"/>
      </rPr>
      <t>1)</t>
    </r>
  </si>
  <si>
    <r>
      <t xml:space="preserve">Kokonaismenot </t>
    </r>
    <r>
      <rPr>
        <b/>
        <vertAlign val="superscript"/>
        <sz val="12"/>
        <rFont val="Arial Narrow"/>
        <family val="2"/>
      </rPr>
      <t>3)</t>
    </r>
  </si>
  <si>
    <t>3) Tulos- ja rahoituslaskelman mukaiset kokonaismenot.</t>
  </si>
  <si>
    <t xml:space="preserve">   Vuoden 2014 kokonaismenoissa on kunnallisten liikelaitosten ja ammattikorkeakoulujen yhtiöittämisestä johtuvia eriä arviolta lähes 4 miljardia euroa. </t>
  </si>
  <si>
    <t xml:space="preserve">   Ilman näitä eriä hankintojen osuus kokonaismenoista olisi suunnilleen edellisen vuoden tasolla.</t>
  </si>
  <si>
    <t>14-15</t>
  </si>
  <si>
    <r>
      <t xml:space="preserve">  Vuosina 2000-2014 niitä myyntituloja, jotka kuntien tai kuntayhtymien </t>
    </r>
    <r>
      <rPr>
        <b/>
        <sz val="10"/>
        <color indexed="10"/>
        <rFont val="Arial"/>
        <family val="2"/>
      </rPr>
      <t>liikelaitokset</t>
    </r>
    <r>
      <rPr>
        <sz val="10"/>
        <color indexed="10"/>
        <rFont val="Arial"/>
        <family val="2"/>
      </rPr>
      <t xml:space="preserve"> saavat muilta kunnilta tai kuntayhtymiltä ei ole pystytty eliminoimaan.</t>
    </r>
  </si>
  <si>
    <t xml:space="preserve">  Vuonna 2015 eliminointierät sisältävät myös nämä liikelaitosten muilta kunnilta ja kuntayhtymiltä saamat myyntitulot.</t>
  </si>
  <si>
    <t>15-16</t>
  </si>
  <si>
    <t>2) Vuoden 2010 investointihankinnoissa ja ulkoisissa menoissa yhteensä on mukana Helsingin seudun ympäristöpalvelut-kuntayhtymän perustamiseen liittyviä eriä</t>
  </si>
  <si>
    <t>16-17</t>
  </si>
  <si>
    <t>17-18</t>
  </si>
  <si>
    <t>18-19</t>
  </si>
  <si>
    <t>19-20</t>
  </si>
  <si>
    <t>Tilastouudistuksen sekä liikelaitosten yhtiöittämisten takia vuodet 2015-2020 eivät ole vertailukelpoisia aikaisempien vuosien kanssa</t>
  </si>
  <si>
    <t>20-21</t>
  </si>
  <si>
    <t>Ei järkevä verrata</t>
  </si>
  <si>
    <t>Vain Manner-Suomi</t>
  </si>
  <si>
    <t>2022*</t>
  </si>
  <si>
    <t>Lähde: Tilastokeskus, vuodesta 2021 alkaen Valtiokonttori (* 2022 tilinpäätösarviot)</t>
  </si>
  <si>
    <r>
      <t xml:space="preserve">Laskelma kuntien ja kuntayhtymien </t>
    </r>
    <r>
      <rPr>
        <u/>
        <sz val="14"/>
        <rFont val="Arial"/>
        <family val="2"/>
      </rPr>
      <t>ulkoisista</t>
    </r>
    <r>
      <rPr>
        <sz val="14"/>
        <rFont val="Arial"/>
        <family val="2"/>
      </rPr>
      <t xml:space="preserve"> hankinnoista vuosina 2000-2022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</si>
</sst>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30" x14ac:knownFonts="1">
    <font>
      <sz val="10"/>
      <name val="Arial"/>
    </font>
    <font>
      <sz val="8"/>
      <name val="Helv"/>
    </font>
    <font>
      <sz val="9"/>
      <name val="Arial"/>
      <family val="2"/>
    </font>
    <font>
      <sz val="10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name val="Helv"/>
    </font>
    <font>
      <sz val="8"/>
      <name val="Arial"/>
      <family val="2"/>
    </font>
    <font>
      <i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vertAlign val="superscript"/>
      <sz val="10"/>
      <name val="Arial Narrow"/>
      <family val="2"/>
    </font>
    <font>
      <b/>
      <i/>
      <sz val="10"/>
      <name val="Arial"/>
      <family val="2"/>
    </font>
    <font>
      <i/>
      <sz val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vertAlign val="superscript"/>
      <sz val="12"/>
      <name val="Arial Narrow"/>
      <family val="2"/>
    </font>
    <font>
      <b/>
      <sz val="10"/>
      <color rgb="FFFF0000"/>
      <name val="Arial Narrow"/>
      <family val="2"/>
    </font>
    <font>
      <sz val="8"/>
      <color rgb="FFFF0000"/>
      <name val="Helv"/>
    </font>
    <font>
      <i/>
      <sz val="10"/>
      <color rgb="FFFF0000"/>
      <name val="Arial Narrow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7" fillId="3" borderId="2" applyNumberFormat="0" applyFont="0" applyAlignment="0" applyProtection="0"/>
  </cellStyleXfs>
  <cellXfs count="59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164" fontId="3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/>
    <xf numFmtId="2" fontId="7" fillId="0" borderId="0" xfId="0" applyNumberFormat="1" applyFont="1"/>
    <xf numFmtId="2" fontId="8" fillId="0" borderId="0" xfId="0" applyNumberFormat="1" applyFont="1"/>
    <xf numFmtId="2" fontId="9" fillId="0" borderId="0" xfId="0" applyNumberFormat="1" applyFont="1"/>
    <xf numFmtId="164" fontId="7" fillId="0" borderId="0" xfId="0" applyNumberFormat="1" applyFont="1"/>
    <xf numFmtId="0" fontId="10" fillId="0" borderId="0" xfId="0" applyFont="1"/>
    <xf numFmtId="164" fontId="9" fillId="0" borderId="0" xfId="0" applyNumberFormat="1" applyFont="1"/>
    <xf numFmtId="164" fontId="2" fillId="0" borderId="0" xfId="0" applyNumberFormat="1" applyFont="1"/>
    <xf numFmtId="14" fontId="2" fillId="0" borderId="0" xfId="0" applyNumberFormat="1" applyFont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164" fontId="12" fillId="0" borderId="0" xfId="0" applyNumberFormat="1" applyFont="1"/>
    <xf numFmtId="2" fontId="12" fillId="0" borderId="0" xfId="0" applyNumberFormat="1" applyFont="1"/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2" fontId="14" fillId="0" borderId="0" xfId="0" applyNumberFormat="1" applyFont="1"/>
    <xf numFmtId="164" fontId="14" fillId="0" borderId="0" xfId="0" applyNumberFormat="1" applyFont="1"/>
    <xf numFmtId="0" fontId="20" fillId="0" borderId="0" xfId="0" applyFont="1"/>
    <xf numFmtId="0" fontId="16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49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164" fontId="17" fillId="0" borderId="0" xfId="0" applyNumberFormat="1" applyFont="1"/>
    <xf numFmtId="164" fontId="22" fillId="0" borderId="0" xfId="0" applyNumberFormat="1" applyFont="1"/>
    <xf numFmtId="2" fontId="22" fillId="0" borderId="0" xfId="0" applyNumberFormat="1" applyFont="1"/>
    <xf numFmtId="0" fontId="22" fillId="2" borderId="0" xfId="0" applyFont="1" applyFill="1" applyAlignment="1">
      <alignment horizontal="center"/>
    </xf>
    <xf numFmtId="0" fontId="22" fillId="2" borderId="0" xfId="0" applyFont="1" applyFill="1"/>
    <xf numFmtId="2" fontId="22" fillId="2" borderId="0" xfId="0" applyNumberFormat="1" applyFont="1" applyFill="1"/>
    <xf numFmtId="164" fontId="22" fillId="2" borderId="0" xfId="0" applyNumberFormat="1" applyFont="1" applyFill="1"/>
    <xf numFmtId="0" fontId="23" fillId="0" borderId="0" xfId="0" applyFont="1"/>
    <xf numFmtId="0" fontId="20" fillId="0" borderId="0" xfId="0" applyFont="1" applyAlignment="1">
      <alignment horizontal="left"/>
    </xf>
    <xf numFmtId="0" fontId="24" fillId="0" borderId="1" xfId="0" applyFont="1" applyBorder="1" applyAlignment="1">
      <alignment horizontal="center"/>
    </xf>
    <xf numFmtId="49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164" fontId="24" fillId="0" borderId="0" xfId="0" applyNumberFormat="1" applyFont="1"/>
    <xf numFmtId="0" fontId="25" fillId="0" borderId="0" xfId="0" applyFont="1"/>
    <xf numFmtId="0" fontId="26" fillId="0" borderId="0" xfId="0" applyFont="1"/>
    <xf numFmtId="0" fontId="22" fillId="0" borderId="0" xfId="0" applyFont="1" applyAlignment="1">
      <alignment horizontal="center"/>
    </xf>
    <xf numFmtId="0" fontId="22" fillId="0" borderId="0" xfId="0" applyFont="1"/>
    <xf numFmtId="0" fontId="0" fillId="0" borderId="1" xfId="0" applyBorder="1"/>
    <xf numFmtId="49" fontId="24" fillId="0" borderId="3" xfId="0" applyNumberFormat="1" applyFont="1" applyBorder="1" applyAlignment="1">
      <alignment horizontal="center"/>
    </xf>
    <xf numFmtId="2" fontId="22" fillId="0" borderId="2" xfId="1" applyNumberFormat="1" applyFont="1" applyFill="1"/>
    <xf numFmtId="2" fontId="0" fillId="0" borderId="0" xfId="0" applyNumberFormat="1"/>
  </cellXfs>
  <cellStyles count="2">
    <cellStyle name="Huomautus" xfId="1" builtinId="10"/>
    <cellStyle name="Normaali" xfId="0" builtinId="0"/>
  </cellStyles>
  <dxfs count="0"/>
  <tableStyles count="1" defaultTableStyle="TableStyleMedium2" defaultPivotStyle="PivotStyleLight16">
    <tableStyle name="Invisible" pivot="0" table="0" count="0" xr9:uid="{E87C9346-C723-4C01-BE70-72A46A1BFC1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5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Z38" sqref="Z38"/>
    </sheetView>
  </sheetViews>
  <sheetFormatPr defaultRowHeight="12.5" x14ac:dyDescent="0.25"/>
  <cols>
    <col min="1" max="1" width="23.1796875" customWidth="1"/>
    <col min="2" max="2" width="6" customWidth="1"/>
    <col min="3" max="6" width="6" hidden="1" customWidth="1"/>
    <col min="7" max="16" width="5.81640625" customWidth="1"/>
    <col min="17" max="17" width="0.7265625" customWidth="1"/>
    <col min="18" max="21" width="5.81640625" customWidth="1"/>
    <col min="22" max="23" width="6.7265625" customWidth="1"/>
    <col min="24" max="24" width="0.7265625" customWidth="1"/>
    <col min="25" max="26" width="6.7265625" customWidth="1"/>
    <col min="27" max="27" width="1.81640625" customWidth="1"/>
    <col min="28" max="30" width="4.26953125" hidden="1" customWidth="1"/>
    <col min="31" max="32" width="5.54296875" hidden="1" customWidth="1"/>
    <col min="33" max="41" width="5.1796875" customWidth="1"/>
    <col min="42" max="42" width="5.1796875" style="31" customWidth="1"/>
    <col min="43" max="43" width="5.1796875" customWidth="1"/>
    <col min="44" max="44" width="5.54296875" bestFit="1" customWidth="1"/>
    <col min="45" max="47" width="5.1796875" customWidth="1"/>
  </cols>
  <sheetData>
    <row r="1" spans="1:48" x14ac:dyDescent="0.25">
      <c r="A1" s="18">
        <v>45013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44"/>
      <c r="AQ1" s="1"/>
      <c r="AR1" s="1"/>
    </row>
    <row r="2" spans="1:48" ht="20.25" customHeight="1" x14ac:dyDescent="0.35">
      <c r="A2" s="4" t="s">
        <v>48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44"/>
      <c r="AQ2" s="1"/>
      <c r="AR2" s="1"/>
    </row>
    <row r="3" spans="1:48" ht="17" customHeight="1" x14ac:dyDescent="0.3">
      <c r="A3" s="52" t="s">
        <v>42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44"/>
      <c r="AQ3" s="1"/>
      <c r="AR3" s="1"/>
    </row>
    <row r="4" spans="1:48" ht="15" customHeight="1" x14ac:dyDescent="0.25">
      <c r="A4" s="7" t="s">
        <v>47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 t="s">
        <v>45</v>
      </c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44"/>
      <c r="AQ4" s="1"/>
      <c r="AR4" s="1"/>
    </row>
    <row r="5" spans="1:48" ht="9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6"/>
      <c r="AH5" s="6"/>
      <c r="AI5" s="6"/>
      <c r="AJ5" s="6"/>
      <c r="AK5" s="6"/>
      <c r="AL5" s="6"/>
      <c r="AM5" s="6"/>
      <c r="AN5" s="6"/>
      <c r="AO5" s="6"/>
      <c r="AP5" s="45"/>
      <c r="AQ5" s="7"/>
      <c r="AR5" s="1"/>
    </row>
    <row r="6" spans="1:48" ht="13.5" customHeight="1" x14ac:dyDescent="0.3">
      <c r="A6" s="25"/>
      <c r="B6" s="26">
        <v>2000</v>
      </c>
      <c r="C6" s="26">
        <v>2001</v>
      </c>
      <c r="D6" s="26">
        <v>2002</v>
      </c>
      <c r="E6" s="26">
        <v>2003</v>
      </c>
      <c r="F6" s="26">
        <v>2004</v>
      </c>
      <c r="G6" s="26">
        <v>2005</v>
      </c>
      <c r="H6" s="26">
        <v>2006</v>
      </c>
      <c r="I6" s="26">
        <v>2007</v>
      </c>
      <c r="J6" s="26">
        <v>2008</v>
      </c>
      <c r="K6" s="26">
        <v>2009</v>
      </c>
      <c r="L6" s="26">
        <v>2010</v>
      </c>
      <c r="M6" s="26">
        <v>2011</v>
      </c>
      <c r="N6" s="26">
        <v>2012</v>
      </c>
      <c r="O6" s="26">
        <v>2013</v>
      </c>
      <c r="P6" s="26">
        <v>2014</v>
      </c>
      <c r="Q6" s="40"/>
      <c r="R6" s="53">
        <v>2015</v>
      </c>
      <c r="S6" s="53">
        <v>2016</v>
      </c>
      <c r="T6" s="53">
        <v>2017</v>
      </c>
      <c r="U6" s="53">
        <v>2018</v>
      </c>
      <c r="V6" s="53">
        <v>2019</v>
      </c>
      <c r="W6" s="53">
        <v>2020</v>
      </c>
      <c r="X6" s="40"/>
      <c r="Y6" s="53">
        <v>2021</v>
      </c>
      <c r="Z6" s="53" t="s">
        <v>46</v>
      </c>
      <c r="AA6" s="9"/>
      <c r="AC6" s="19"/>
      <c r="AD6" s="19"/>
      <c r="AG6" s="32" t="s">
        <v>13</v>
      </c>
      <c r="AH6" s="33"/>
      <c r="AI6" s="33"/>
      <c r="AJ6" s="33"/>
      <c r="AK6" s="33"/>
      <c r="AL6" s="33"/>
      <c r="AM6" s="33"/>
      <c r="AN6" s="33"/>
      <c r="AO6" s="33"/>
      <c r="AP6" s="46"/>
      <c r="AQ6" s="55"/>
      <c r="AR6" s="1"/>
      <c r="AV6" t="s">
        <v>44</v>
      </c>
    </row>
    <row r="7" spans="1:48" ht="13.5" customHeight="1" x14ac:dyDescent="0.3">
      <c r="A7" s="25"/>
      <c r="B7" s="26" t="s">
        <v>4</v>
      </c>
      <c r="C7" s="26" t="s">
        <v>4</v>
      </c>
      <c r="D7" s="26" t="s">
        <v>4</v>
      </c>
      <c r="E7" s="26" t="s">
        <v>4</v>
      </c>
      <c r="F7" s="26" t="s">
        <v>4</v>
      </c>
      <c r="G7" s="26" t="s">
        <v>4</v>
      </c>
      <c r="H7" s="26" t="s">
        <v>4</v>
      </c>
      <c r="I7" s="26" t="s">
        <v>4</v>
      </c>
      <c r="J7" s="26" t="s">
        <v>4</v>
      </c>
      <c r="K7" s="26" t="s">
        <v>4</v>
      </c>
      <c r="L7" s="26" t="s">
        <v>4</v>
      </c>
      <c r="M7" s="26" t="s">
        <v>4</v>
      </c>
      <c r="N7" s="26" t="s">
        <v>4</v>
      </c>
      <c r="O7" s="26" t="s">
        <v>4</v>
      </c>
      <c r="P7" s="26" t="s">
        <v>4</v>
      </c>
      <c r="Q7" s="40"/>
      <c r="R7" s="53" t="s">
        <v>4</v>
      </c>
      <c r="S7" s="53" t="s">
        <v>4</v>
      </c>
      <c r="T7" s="53" t="s">
        <v>4</v>
      </c>
      <c r="U7" s="53" t="s">
        <v>4</v>
      </c>
      <c r="V7" s="53" t="s">
        <v>4</v>
      </c>
      <c r="W7" s="53" t="s">
        <v>4</v>
      </c>
      <c r="X7" s="40"/>
      <c r="Y7" s="53" t="s">
        <v>4</v>
      </c>
      <c r="Z7" s="53" t="s">
        <v>4</v>
      </c>
      <c r="AA7" s="9"/>
      <c r="AB7" s="20" t="s">
        <v>6</v>
      </c>
      <c r="AC7" s="21" t="s">
        <v>7</v>
      </c>
      <c r="AD7" s="21" t="s">
        <v>8</v>
      </c>
      <c r="AE7" s="34" t="s">
        <v>9</v>
      </c>
      <c r="AF7" s="34" t="s">
        <v>10</v>
      </c>
      <c r="AG7" s="34" t="s">
        <v>11</v>
      </c>
      <c r="AH7" s="34" t="s">
        <v>12</v>
      </c>
      <c r="AI7" s="34" t="s">
        <v>14</v>
      </c>
      <c r="AJ7" s="34" t="s">
        <v>18</v>
      </c>
      <c r="AK7" s="34" t="s">
        <v>19</v>
      </c>
      <c r="AL7" s="34" t="s">
        <v>21</v>
      </c>
      <c r="AM7" s="34" t="s">
        <v>22</v>
      </c>
      <c r="AN7" s="34" t="s">
        <v>25</v>
      </c>
      <c r="AO7" s="34" t="s">
        <v>26</v>
      </c>
      <c r="AP7" s="47" t="s">
        <v>33</v>
      </c>
      <c r="AQ7" s="47" t="s">
        <v>36</v>
      </c>
      <c r="AR7" s="56" t="s">
        <v>38</v>
      </c>
      <c r="AS7" s="56" t="s">
        <v>39</v>
      </c>
      <c r="AT7" s="56" t="s">
        <v>40</v>
      </c>
      <c r="AU7" s="56" t="s">
        <v>41</v>
      </c>
      <c r="AV7" s="56" t="s">
        <v>43</v>
      </c>
    </row>
    <row r="8" spans="1:48" ht="13.5" customHeight="1" x14ac:dyDescent="0.3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40"/>
      <c r="R8" s="53"/>
      <c r="S8" s="53"/>
      <c r="T8" s="53"/>
      <c r="U8" s="53"/>
      <c r="V8" s="53"/>
      <c r="W8" s="53"/>
      <c r="X8" s="40"/>
      <c r="Y8" s="53"/>
      <c r="Z8" s="53"/>
      <c r="AA8" s="9"/>
      <c r="AB8" s="20"/>
      <c r="AC8" s="20"/>
      <c r="AD8" s="20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48"/>
      <c r="AQ8" s="48"/>
      <c r="AR8" s="1"/>
      <c r="AS8" s="1"/>
      <c r="AT8" s="1"/>
    </row>
    <row r="9" spans="1:48" ht="13.5" customHeight="1" x14ac:dyDescent="0.3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40"/>
      <c r="R9" s="53"/>
      <c r="S9" s="53"/>
      <c r="T9" s="53"/>
      <c r="U9" s="53"/>
      <c r="V9" s="53"/>
      <c r="W9" s="53"/>
      <c r="X9" s="40"/>
      <c r="Y9" s="53"/>
      <c r="Z9" s="53"/>
      <c r="AA9" s="9"/>
      <c r="AB9" s="20"/>
      <c r="AC9" s="20"/>
      <c r="AD9" s="20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48"/>
      <c r="AQ9" s="48"/>
      <c r="AR9" s="1"/>
      <c r="AS9" s="1"/>
      <c r="AT9" s="1"/>
    </row>
    <row r="10" spans="1:48" ht="9.75" customHeight="1" x14ac:dyDescent="0.3">
      <c r="A10" s="25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41"/>
      <c r="R10" s="54"/>
      <c r="S10" s="54"/>
      <c r="T10" s="54"/>
      <c r="U10" s="54"/>
      <c r="V10" s="54"/>
      <c r="W10" s="54"/>
      <c r="X10" s="41"/>
      <c r="Y10" s="54"/>
      <c r="Z10" s="54"/>
      <c r="AA10" s="10"/>
      <c r="AB10" s="22"/>
      <c r="AC10" s="22"/>
      <c r="AD10" s="22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49"/>
      <c r="AQ10" s="49"/>
      <c r="AR10" s="1"/>
      <c r="AS10" s="1"/>
      <c r="AT10" s="1"/>
    </row>
    <row r="11" spans="1:48" ht="13.5" customHeight="1" x14ac:dyDescent="0.3">
      <c r="A11" s="28" t="s">
        <v>20</v>
      </c>
      <c r="B11" s="29">
        <f t="shared" ref="B11:G11" si="0">B13+B14+B15</f>
        <v>6</v>
      </c>
      <c r="C11" s="29">
        <f t="shared" si="0"/>
        <v>6.609</v>
      </c>
      <c r="D11" s="29">
        <f t="shared" si="0"/>
        <v>7.0177499999999995</v>
      </c>
      <c r="E11" s="29">
        <f t="shared" si="0"/>
        <v>7.4126099999999999</v>
      </c>
      <c r="F11" s="29">
        <f t="shared" si="0"/>
        <v>7.9250000000000007</v>
      </c>
      <c r="G11" s="29">
        <f t="shared" si="0"/>
        <v>8.3780000000000001</v>
      </c>
      <c r="H11" s="29">
        <f t="shared" ref="H11:M11" si="1">H13+H14+H15</f>
        <v>8.9899999999999984</v>
      </c>
      <c r="I11" s="29">
        <f t="shared" si="1"/>
        <v>9.625</v>
      </c>
      <c r="J11" s="29">
        <f t="shared" si="1"/>
        <v>10.803447000000002</v>
      </c>
      <c r="K11" s="29">
        <f t="shared" si="1"/>
        <v>11.500999999999999</v>
      </c>
      <c r="L11" s="29">
        <f t="shared" si="1"/>
        <v>12.366999999999999</v>
      </c>
      <c r="M11" s="29">
        <f t="shared" si="1"/>
        <v>13.398000000000001</v>
      </c>
      <c r="N11" s="29">
        <f>N13+N14+N15</f>
        <v>14.154999999999999</v>
      </c>
      <c r="O11" s="29">
        <f>O13+O14+O15</f>
        <v>14.667300000000001</v>
      </c>
      <c r="P11" s="29">
        <f>P13+P14+P15</f>
        <v>14.737</v>
      </c>
      <c r="Q11" s="42"/>
      <c r="R11" s="39">
        <f t="shared" ref="R11:Z11" si="2">R13+R14+R15</f>
        <v>13.461</v>
      </c>
      <c r="S11" s="39">
        <f t="shared" si="2"/>
        <v>13.782999999999999</v>
      </c>
      <c r="T11" s="39">
        <f t="shared" si="2"/>
        <v>14.441999999999998</v>
      </c>
      <c r="U11" s="39">
        <f t="shared" si="2"/>
        <v>15.082000000000001</v>
      </c>
      <c r="V11" s="39">
        <f t="shared" si="2"/>
        <v>15.882549000000001</v>
      </c>
      <c r="W11" s="39">
        <f t="shared" si="2"/>
        <v>16.129625000000001</v>
      </c>
      <c r="X11" s="42"/>
      <c r="Y11" s="39">
        <f t="shared" si="2"/>
        <v>18.059466999999998</v>
      </c>
      <c r="Z11" s="39">
        <f t="shared" si="2"/>
        <v>20.200000000000003</v>
      </c>
      <c r="AA11" s="11"/>
      <c r="AB11" s="23">
        <f t="shared" ref="AB11:AO11" si="3">100*(C11-B11)/B11</f>
        <v>10.15</v>
      </c>
      <c r="AC11" s="23">
        <f t="shared" si="3"/>
        <v>6.1847480708125211</v>
      </c>
      <c r="AD11" s="23">
        <f t="shared" si="3"/>
        <v>5.626589718927014</v>
      </c>
      <c r="AE11" s="37">
        <f t="shared" si="3"/>
        <v>6.9124100687881969</v>
      </c>
      <c r="AF11" s="37">
        <f t="shared" si="3"/>
        <v>5.7160883280757018</v>
      </c>
      <c r="AG11" s="37">
        <f t="shared" si="3"/>
        <v>7.3048460253043483</v>
      </c>
      <c r="AH11" s="37">
        <f t="shared" si="3"/>
        <v>7.0634037819799964</v>
      </c>
      <c r="AI11" s="37">
        <f t="shared" si="3"/>
        <v>12.243605194805216</v>
      </c>
      <c r="AJ11" s="37">
        <f t="shared" si="3"/>
        <v>6.4567632904571788</v>
      </c>
      <c r="AK11" s="37">
        <f t="shared" si="3"/>
        <v>7.5297800191287685</v>
      </c>
      <c r="AL11" s="37">
        <f t="shared" si="3"/>
        <v>8.3367025147570342</v>
      </c>
      <c r="AM11" s="37">
        <f t="shared" si="3"/>
        <v>5.650097029407358</v>
      </c>
      <c r="AN11" s="37">
        <f t="shared" si="3"/>
        <v>3.6192158247969024</v>
      </c>
      <c r="AO11" s="37">
        <f t="shared" si="3"/>
        <v>0.47520675243568483</v>
      </c>
      <c r="AP11" s="50">
        <f>100*(R11-P11)/P11</f>
        <v>-8.6584786591572218</v>
      </c>
      <c r="AQ11" s="50">
        <f>100*(S11-R11)/R11</f>
        <v>2.3920956838273471</v>
      </c>
      <c r="AR11" s="50">
        <f>100*(T11-S11)/S11</f>
        <v>4.7812522672857796</v>
      </c>
      <c r="AS11" s="50">
        <f>100*(U11-T11)/T11</f>
        <v>4.4315191801689675</v>
      </c>
      <c r="AT11" s="50">
        <f>100*(V11-U11)/U11</f>
        <v>5.3079763957034887</v>
      </c>
      <c r="AU11" s="50">
        <f>100*(W11-V11)/V11</f>
        <v>1.5556445001365955</v>
      </c>
    </row>
    <row r="12" spans="1:48" ht="9" customHeight="1" x14ac:dyDescent="0.3">
      <c r="A12" s="27"/>
      <c r="B12" s="29"/>
      <c r="C12" s="29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41"/>
      <c r="R12" s="54"/>
      <c r="S12" s="54"/>
      <c r="T12" s="54"/>
      <c r="U12" s="54"/>
      <c r="V12" s="54"/>
      <c r="W12" s="54"/>
      <c r="X12" s="41"/>
      <c r="Y12" s="54"/>
      <c r="Z12" s="54"/>
      <c r="AA12" s="10"/>
      <c r="AB12" s="24"/>
      <c r="AC12" s="23"/>
      <c r="AD12" s="23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50"/>
      <c r="AQ12" s="50"/>
      <c r="AR12" s="50"/>
      <c r="AS12" s="50"/>
      <c r="AT12" s="50"/>
      <c r="AU12" s="50"/>
    </row>
    <row r="13" spans="1:48" ht="15" customHeight="1" x14ac:dyDescent="0.3">
      <c r="A13" s="28" t="s">
        <v>3</v>
      </c>
      <c r="B13" s="29">
        <v>2.4</v>
      </c>
      <c r="C13" s="29">
        <v>2.62</v>
      </c>
      <c r="D13" s="29">
        <f>(1769614-915+947474-1224)/1000000</f>
        <v>2.7149489999999998</v>
      </c>
      <c r="E13" s="29">
        <v>2.847</v>
      </c>
      <c r="F13" s="29">
        <v>2.9340000000000002</v>
      </c>
      <c r="G13" s="29">
        <v>3.0470000000000002</v>
      </c>
      <c r="H13" s="29">
        <v>3.218</v>
      </c>
      <c r="I13" s="29">
        <v>3.3039999999999998</v>
      </c>
      <c r="J13" s="29">
        <v>3.6619999999999999</v>
      </c>
      <c r="K13" s="29">
        <v>3.6269999999999998</v>
      </c>
      <c r="L13" s="29">
        <v>3.7349999999999999</v>
      </c>
      <c r="M13" s="29">
        <v>3.9359999999999999</v>
      </c>
      <c r="N13" s="29">
        <v>4.0579999999999998</v>
      </c>
      <c r="O13" s="29">
        <v>4.07</v>
      </c>
      <c r="P13" s="29">
        <v>3.97</v>
      </c>
      <c r="Q13" s="42"/>
      <c r="R13" s="39">
        <v>3.444</v>
      </c>
      <c r="S13" s="39">
        <f>1.868+1.632</f>
        <v>3.5</v>
      </c>
      <c r="T13" s="39">
        <f>1.854+1.736</f>
        <v>3.59</v>
      </c>
      <c r="U13" s="39">
        <v>3.69</v>
      </c>
      <c r="V13" s="39">
        <v>3.7102050000000002</v>
      </c>
      <c r="W13" s="39">
        <v>3.7496870000000002</v>
      </c>
      <c r="X13" s="42"/>
      <c r="Y13" s="39">
        <v>3.9894670000000003</v>
      </c>
      <c r="Z13" s="39">
        <v>4.04</v>
      </c>
      <c r="AA13" s="13"/>
      <c r="AB13" s="23">
        <f t="shared" ref="AB13:AO15" si="4">100*(C13-B13)/B13</f>
        <v>9.1666666666666767</v>
      </c>
      <c r="AC13" s="23">
        <f t="shared" si="4"/>
        <v>3.6240076335877758</v>
      </c>
      <c r="AD13" s="23">
        <f t="shared" si="4"/>
        <v>4.8638482711830004</v>
      </c>
      <c r="AE13" s="37">
        <f t="shared" si="4"/>
        <v>3.05584826132772</v>
      </c>
      <c r="AF13" s="37">
        <f t="shared" si="4"/>
        <v>3.8513974096796177</v>
      </c>
      <c r="AG13" s="37">
        <f t="shared" si="4"/>
        <v>5.6120774532326809</v>
      </c>
      <c r="AH13" s="37">
        <f t="shared" si="4"/>
        <v>2.6724673710379072</v>
      </c>
      <c r="AI13" s="37">
        <f t="shared" si="4"/>
        <v>10.835351089588382</v>
      </c>
      <c r="AJ13" s="37">
        <f t="shared" si="4"/>
        <v>-0.95576187875478269</v>
      </c>
      <c r="AK13" s="37">
        <f t="shared" si="4"/>
        <v>2.9776674937965288</v>
      </c>
      <c r="AL13" s="37">
        <f t="shared" si="4"/>
        <v>5.3815261044176728</v>
      </c>
      <c r="AM13" s="37">
        <f t="shared" si="4"/>
        <v>3.0995934959349567</v>
      </c>
      <c r="AN13" s="37">
        <f t="shared" si="4"/>
        <v>0.29571217348448631</v>
      </c>
      <c r="AO13" s="37">
        <f t="shared" si="4"/>
        <v>-2.4570024570024591</v>
      </c>
      <c r="AP13" s="50">
        <f>100*(R13-P13)/P13</f>
        <v>-13.249370277078091</v>
      </c>
      <c r="AQ13" s="50">
        <f t="shared" ref="AQ13:AQ26" si="5">100*(S13-R13)/R13</f>
        <v>1.6260162601626031</v>
      </c>
      <c r="AR13" s="50">
        <f t="shared" ref="AR13:AU15" si="6">100*(T13-S13)/S13</f>
        <v>2.5714285714285672</v>
      </c>
      <c r="AS13" s="50">
        <f t="shared" si="6"/>
        <v>2.7855153203342646</v>
      </c>
      <c r="AT13" s="50">
        <f t="shared" si="6"/>
        <v>0.54756097560976291</v>
      </c>
      <c r="AU13" s="50">
        <f t="shared" si="6"/>
        <v>1.0641460512289755</v>
      </c>
    </row>
    <row r="14" spans="1:48" ht="15.75" customHeight="1" x14ac:dyDescent="0.35">
      <c r="A14" s="28" t="s">
        <v>28</v>
      </c>
      <c r="B14" s="29">
        <v>3.23</v>
      </c>
      <c r="C14" s="29">
        <v>3.59</v>
      </c>
      <c r="D14" s="29">
        <v>3.8719999999999999</v>
      </c>
      <c r="E14" s="29">
        <v>4.1058000000000003</v>
      </c>
      <c r="F14" s="29">
        <v>4.5460000000000003</v>
      </c>
      <c r="G14" s="29">
        <v>4.8780000000000001</v>
      </c>
      <c r="H14" s="29">
        <v>5.2839999999999998</v>
      </c>
      <c r="I14" s="29">
        <v>5.7839999999999998</v>
      </c>
      <c r="J14" s="29">
        <v>6.5540000000000003</v>
      </c>
      <c r="K14" s="29">
        <v>7.2910000000000004</v>
      </c>
      <c r="L14" s="29">
        <v>7.99</v>
      </c>
      <c r="M14" s="29">
        <v>8.7710000000000008</v>
      </c>
      <c r="N14" s="29">
        <v>9.3279999999999994</v>
      </c>
      <c r="O14" s="29">
        <v>9.7840000000000007</v>
      </c>
      <c r="P14" s="29">
        <v>9.8949999999999996</v>
      </c>
      <c r="Q14" s="42"/>
      <c r="R14" s="39">
        <v>8.7100000000000009</v>
      </c>
      <c r="S14" s="39">
        <f>16.687+3.915-1.18-0.344-9.22-0.815</f>
        <v>9.0429999999999993</v>
      </c>
      <c r="T14" s="39">
        <f>17.355+4.473-0.872-0.379-10.249-0.863</f>
        <v>9.4649999999999981</v>
      </c>
      <c r="U14" s="39">
        <v>9.89</v>
      </c>
      <c r="V14" s="39">
        <v>10.529562</v>
      </c>
      <c r="W14" s="39">
        <v>10.659914000000001</v>
      </c>
      <c r="X14" s="42"/>
      <c r="Y14" s="39">
        <v>12.26</v>
      </c>
      <c r="Z14" s="39">
        <v>14.24</v>
      </c>
      <c r="AA14" s="13"/>
      <c r="AB14" s="23">
        <f t="shared" si="4"/>
        <v>11.145510835913308</v>
      </c>
      <c r="AC14" s="23">
        <f t="shared" si="4"/>
        <v>7.8551532033426197</v>
      </c>
      <c r="AD14" s="23">
        <f t="shared" si="4"/>
        <v>6.0382231404958793</v>
      </c>
      <c r="AE14" s="37">
        <f t="shared" si="4"/>
        <v>10.721418481172973</v>
      </c>
      <c r="AF14" s="37">
        <f t="shared" si="4"/>
        <v>7.3031236251649769</v>
      </c>
      <c r="AG14" s="37">
        <f t="shared" si="4"/>
        <v>8.3230832308323013</v>
      </c>
      <c r="AH14" s="37">
        <f t="shared" si="4"/>
        <v>9.4625283875851629</v>
      </c>
      <c r="AI14" s="37">
        <f t="shared" si="4"/>
        <v>13.312586445366536</v>
      </c>
      <c r="AJ14" s="37">
        <f t="shared" si="4"/>
        <v>11.245041196216054</v>
      </c>
      <c r="AK14" s="37">
        <f t="shared" si="4"/>
        <v>9.5871622548347233</v>
      </c>
      <c r="AL14" s="37">
        <f t="shared" si="4"/>
        <v>9.7747183979975034</v>
      </c>
      <c r="AM14" s="37">
        <f t="shared" si="4"/>
        <v>6.3504731501539</v>
      </c>
      <c r="AN14" s="37">
        <f t="shared" si="4"/>
        <v>4.8885077186964123</v>
      </c>
      <c r="AO14" s="37">
        <f t="shared" si="4"/>
        <v>1.1345053147996613</v>
      </c>
      <c r="AP14" s="50">
        <f>100*(R14-P14)/P14</f>
        <v>-11.975745325922171</v>
      </c>
      <c r="AQ14" s="50">
        <f t="shared" si="5"/>
        <v>3.8231917336394763</v>
      </c>
      <c r="AR14" s="50">
        <f t="shared" si="6"/>
        <v>4.6665929448191843</v>
      </c>
      <c r="AS14" s="50">
        <f t="shared" si="6"/>
        <v>4.4902271526677504</v>
      </c>
      <c r="AT14" s="50">
        <f t="shared" si="6"/>
        <v>6.4667542972699668</v>
      </c>
      <c r="AU14" s="50">
        <f t="shared" si="6"/>
        <v>1.237962224829487</v>
      </c>
    </row>
    <row r="15" spans="1:48" ht="15" customHeight="1" x14ac:dyDescent="0.3">
      <c r="A15" s="28" t="s">
        <v>2</v>
      </c>
      <c r="B15" s="29">
        <f>0.281+0.089</f>
        <v>0.37</v>
      </c>
      <c r="C15" s="29">
        <f>0.297+0.102</f>
        <v>0.39899999999999997</v>
      </c>
      <c r="D15" s="29">
        <f>(106443+324358)/1000000</f>
        <v>0.43080099999999999</v>
      </c>
      <c r="E15" s="29">
        <f>(344761+115049)/1000000</f>
        <v>0.45981</v>
      </c>
      <c r="F15" s="29">
        <f>0.107+0.338</f>
        <v>0.44500000000000001</v>
      </c>
      <c r="G15" s="29">
        <f>0.13+0.323</f>
        <v>0.45300000000000001</v>
      </c>
      <c r="H15" s="29">
        <f>0.35+0.138</f>
        <v>0.48799999999999999</v>
      </c>
      <c r="I15" s="29">
        <f>0.155+0.382</f>
        <v>0.53700000000000003</v>
      </c>
      <c r="J15" s="29">
        <f>0.415866+0.171581</f>
        <v>0.58744700000000005</v>
      </c>
      <c r="K15" s="29">
        <f>0.413+0.17</f>
        <v>0.58299999999999996</v>
      </c>
      <c r="L15" s="29">
        <f>0.213+0.429</f>
        <v>0.64200000000000002</v>
      </c>
      <c r="M15" s="29">
        <f>0.46+0.231</f>
        <v>0.69100000000000006</v>
      </c>
      <c r="N15" s="29">
        <f>0.513+0.256</f>
        <v>0.76900000000000002</v>
      </c>
      <c r="O15" s="29">
        <f>0.2576+0.5557</f>
        <v>0.81329999999999991</v>
      </c>
      <c r="P15" s="29">
        <f>0.602+0.27</f>
        <v>0.872</v>
      </c>
      <c r="Q15" s="42"/>
      <c r="R15" s="39">
        <f>0.321+0.986</f>
        <v>1.3069999999999999</v>
      </c>
      <c r="S15" s="39">
        <f>0.894+0.346</f>
        <v>1.24</v>
      </c>
      <c r="T15" s="39">
        <f>0.971+0.416</f>
        <v>1.387</v>
      </c>
      <c r="U15" s="39">
        <v>1.502</v>
      </c>
      <c r="V15" s="39">
        <v>1.642782</v>
      </c>
      <c r="W15" s="39">
        <v>1.720024</v>
      </c>
      <c r="X15" s="42"/>
      <c r="Y15" s="39">
        <v>1.81</v>
      </c>
      <c r="Z15" s="39">
        <v>1.92</v>
      </c>
      <c r="AA15" s="13"/>
      <c r="AB15" s="23">
        <f t="shared" si="4"/>
        <v>7.8378378378378297</v>
      </c>
      <c r="AC15" s="23">
        <f t="shared" si="4"/>
        <v>7.9701754385964971</v>
      </c>
      <c r="AD15" s="23">
        <f t="shared" si="4"/>
        <v>6.7337355298618178</v>
      </c>
      <c r="AE15" s="37">
        <f t="shared" si="4"/>
        <v>-3.2208955873077989</v>
      </c>
      <c r="AF15" s="37">
        <f t="shared" si="4"/>
        <v>1.7977528089887655</v>
      </c>
      <c r="AG15" s="37">
        <f t="shared" si="4"/>
        <v>7.7262693156732833</v>
      </c>
      <c r="AH15" s="37">
        <f t="shared" si="4"/>
        <v>10.040983606557385</v>
      </c>
      <c r="AI15" s="37">
        <f t="shared" si="4"/>
        <v>9.3942271880819401</v>
      </c>
      <c r="AJ15" s="37">
        <f t="shared" si="4"/>
        <v>-0.7570044616791114</v>
      </c>
      <c r="AK15" s="37">
        <f t="shared" si="4"/>
        <v>10.120068610634659</v>
      </c>
      <c r="AL15" s="37">
        <f t="shared" si="4"/>
        <v>7.632398753894087</v>
      </c>
      <c r="AM15" s="37">
        <f t="shared" si="4"/>
        <v>11.287988422575969</v>
      </c>
      <c r="AN15" s="37">
        <f t="shared" si="4"/>
        <v>5.7607282184655251</v>
      </c>
      <c r="AO15" s="37">
        <f t="shared" si="4"/>
        <v>7.2175089142997768</v>
      </c>
      <c r="AP15" s="50">
        <f>100*(R15-P15)/P15</f>
        <v>49.885321100917423</v>
      </c>
      <c r="AQ15" s="50">
        <f t="shared" si="5"/>
        <v>-5.126243305279262</v>
      </c>
      <c r="AR15" s="50">
        <f t="shared" si="6"/>
        <v>11.854838709677422</v>
      </c>
      <c r="AS15" s="50">
        <f t="shared" si="6"/>
        <v>8.2912761355443401</v>
      </c>
      <c r="AT15" s="50">
        <f t="shared" si="6"/>
        <v>9.3729693741677735</v>
      </c>
      <c r="AU15" s="50">
        <f t="shared" si="6"/>
        <v>4.7019020174314079</v>
      </c>
    </row>
    <row r="16" spans="1:48" ht="8.25" customHeight="1" x14ac:dyDescent="0.3">
      <c r="A16" s="27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42"/>
      <c r="R16" s="39"/>
      <c r="S16" s="39"/>
      <c r="T16" s="39"/>
      <c r="U16" s="39"/>
      <c r="V16" s="39"/>
      <c r="W16" s="39"/>
      <c r="X16" s="42"/>
      <c r="Y16" s="39"/>
      <c r="Z16" s="39"/>
      <c r="AA16" s="12"/>
      <c r="AB16" s="24"/>
      <c r="AC16" s="23"/>
      <c r="AD16" s="23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50"/>
      <c r="AQ16" s="50"/>
      <c r="AR16" s="50"/>
      <c r="AS16" s="50"/>
      <c r="AT16" s="50"/>
      <c r="AU16" s="50"/>
    </row>
    <row r="17" spans="1:47" ht="16.5" customHeight="1" x14ac:dyDescent="0.35">
      <c r="A17" s="28" t="s">
        <v>27</v>
      </c>
      <c r="B17" s="29">
        <f t="shared" ref="B17:J17" si="7">B19+B20+B21+B22</f>
        <v>2.5048227887912837</v>
      </c>
      <c r="C17" s="29">
        <f t="shared" si="7"/>
        <v>2.6890000000000001</v>
      </c>
      <c r="D17" s="29">
        <f t="shared" si="7"/>
        <v>2.721571</v>
      </c>
      <c r="E17" s="29">
        <f t="shared" si="7"/>
        <v>2.9437510000000002</v>
      </c>
      <c r="F17" s="29">
        <f t="shared" si="7"/>
        <v>3.0095710000000002</v>
      </c>
      <c r="G17" s="29">
        <f t="shared" si="7"/>
        <v>3.005995</v>
      </c>
      <c r="H17" s="29">
        <f t="shared" si="7"/>
        <v>3.2592289999999995</v>
      </c>
      <c r="I17" s="29">
        <f t="shared" si="7"/>
        <v>3.4550000000000001</v>
      </c>
      <c r="J17" s="29">
        <f t="shared" si="7"/>
        <v>3.8503550000000004</v>
      </c>
      <c r="K17" s="29">
        <f t="shared" ref="K17:P17" si="8">K19+K20+K21+K22</f>
        <v>3.680939</v>
      </c>
      <c r="L17" s="29">
        <f t="shared" si="8"/>
        <v>4.600956</v>
      </c>
      <c r="M17" s="29">
        <f t="shared" si="8"/>
        <v>3.9624069999999998</v>
      </c>
      <c r="N17" s="29">
        <f t="shared" si="8"/>
        <v>4.0221470000000004</v>
      </c>
      <c r="O17" s="29">
        <f t="shared" si="8"/>
        <v>4.0802390000000006</v>
      </c>
      <c r="P17" s="29">
        <f t="shared" si="8"/>
        <v>3.9540000000000002</v>
      </c>
      <c r="Q17" s="42"/>
      <c r="R17" s="39">
        <f t="shared" ref="R17:V17" si="9">R19+R20+R21+R22</f>
        <v>3.9186679999999994</v>
      </c>
      <c r="S17" s="39">
        <f t="shared" si="9"/>
        <v>4.0659999999999998</v>
      </c>
      <c r="T17" s="39">
        <f t="shared" si="9"/>
        <v>4.1280000000000001</v>
      </c>
      <c r="U17" s="39">
        <f t="shared" si="9"/>
        <v>4.8479999999999999</v>
      </c>
      <c r="V17" s="39">
        <f t="shared" si="9"/>
        <v>5.414263</v>
      </c>
      <c r="W17" s="39">
        <v>5.7829809999999995</v>
      </c>
      <c r="X17" s="42"/>
      <c r="Y17" s="39">
        <v>5.33</v>
      </c>
      <c r="Z17" s="39">
        <v>5.76</v>
      </c>
      <c r="AA17" s="11"/>
      <c r="AB17" s="23">
        <f t="shared" ref="AB17:AO17" si="10">100*(C17-B17)/B17</f>
        <v>7.3529038474451154</v>
      </c>
      <c r="AC17" s="23">
        <f t="shared" si="10"/>
        <v>1.2112681294161363</v>
      </c>
      <c r="AD17" s="23">
        <f t="shared" si="10"/>
        <v>8.1636672348434143</v>
      </c>
      <c r="AE17" s="37">
        <f t="shared" si="10"/>
        <v>2.2359228073298314</v>
      </c>
      <c r="AF17" s="37">
        <f t="shared" si="10"/>
        <v>-0.11882092165296135</v>
      </c>
      <c r="AG17" s="37">
        <f t="shared" si="10"/>
        <v>8.4242987762787198</v>
      </c>
      <c r="AH17" s="37">
        <f t="shared" si="10"/>
        <v>6.0066659937058926</v>
      </c>
      <c r="AI17" s="37">
        <f t="shared" si="10"/>
        <v>11.442981186685973</v>
      </c>
      <c r="AJ17" s="37">
        <f t="shared" si="10"/>
        <v>-4.4000098692198621</v>
      </c>
      <c r="AK17" s="37">
        <f t="shared" si="10"/>
        <v>24.99408438987987</v>
      </c>
      <c r="AL17" s="37">
        <f t="shared" si="10"/>
        <v>-13.878615661614679</v>
      </c>
      <c r="AM17" s="37">
        <f t="shared" si="10"/>
        <v>1.507669454450302</v>
      </c>
      <c r="AN17" s="37">
        <f t="shared" si="10"/>
        <v>1.4443032539586507</v>
      </c>
      <c r="AO17" s="37">
        <f t="shared" si="10"/>
        <v>-3.0939119007489615</v>
      </c>
      <c r="AP17" s="50">
        <f>100*(R17-P17)/P17</f>
        <v>-0.89357612544261011</v>
      </c>
      <c r="AQ17" s="50">
        <f t="shared" si="5"/>
        <v>3.7597469344175236</v>
      </c>
      <c r="AR17" s="50">
        <f>100*(T17-S17)/S17</f>
        <v>1.5248401377275032</v>
      </c>
      <c r="AS17" s="50">
        <f>100*(U17-T17)/T17</f>
        <v>17.441860465116271</v>
      </c>
      <c r="AT17" s="50">
        <f>100*(V17-U17)/U17</f>
        <v>11.680342409240927</v>
      </c>
      <c r="AU17" s="50">
        <f>100*(W17-V17)/V17</f>
        <v>6.8101235569827221</v>
      </c>
    </row>
    <row r="18" spans="1:47" ht="9.75" customHeight="1" x14ac:dyDescent="0.3">
      <c r="A18" s="27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42"/>
      <c r="R18" s="39"/>
      <c r="S18" s="39"/>
      <c r="T18" s="39"/>
      <c r="U18" s="39"/>
      <c r="V18" s="39"/>
      <c r="W18" s="39"/>
      <c r="X18" s="42"/>
      <c r="Y18" s="39"/>
      <c r="Z18" s="39"/>
      <c r="AA18" s="12"/>
      <c r="AB18" s="24"/>
      <c r="AC18" s="23"/>
      <c r="AD18" s="23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50"/>
      <c r="AQ18" s="50"/>
      <c r="AR18" s="50"/>
      <c r="AS18" s="50"/>
      <c r="AT18" s="50"/>
      <c r="AU18" s="50"/>
    </row>
    <row r="19" spans="1:47" ht="15" customHeight="1" x14ac:dyDescent="0.3">
      <c r="A19" s="28" t="s">
        <v>15</v>
      </c>
      <c r="B19" s="29">
        <f>(0.136+4.816+0.259+0.006+0.952+0.028)/5.94573</f>
        <v>1.0422605802819838</v>
      </c>
      <c r="C19" s="29">
        <f>0.006+0.181+0.005+0.023+0.928+0.042</f>
        <v>1.1850000000000001</v>
      </c>
      <c r="D19" s="29">
        <f>(21491+945248+39760+817+210031+3774)/1000000</f>
        <v>1.2211209999999999</v>
      </c>
      <c r="E19" s="29">
        <f>(461+252218+9290+21355+1051059+52843)/1000000</f>
        <v>1.3872260000000001</v>
      </c>
      <c r="F19" s="29">
        <f>(30838+1019271+63207+607+250418+7662)/1000000</f>
        <v>1.3720030000000001</v>
      </c>
      <c r="G19" s="29">
        <f>(20355+916854+1140+278118+73327+47+60+2629+1256+31)/1000000</f>
        <v>1.293817</v>
      </c>
      <c r="H19" s="29">
        <f>(0.077+367.633+23.345+934.654+83.781+3.367)/1000</f>
        <v>1.4128569999999998</v>
      </c>
      <c r="I19" s="29">
        <f>0.02+0.943+0.043+0.001+0.3+0.011</f>
        <v>1.3179999999999998</v>
      </c>
      <c r="J19" s="29">
        <f>(23416+1014705+75499+2483+357017+35)/1000000</f>
        <v>1.473155</v>
      </c>
      <c r="K19" s="29">
        <f>(43+369522+14587+16455+936316+151309)/1000000</f>
        <v>1.488232</v>
      </c>
      <c r="L19" s="29">
        <f>(18450+1004994+120074+102+455731+5606)/1000000</f>
        <v>1.604957</v>
      </c>
      <c r="M19" s="29">
        <f>(385751+18911+1078346+10872+145204)/1000000</f>
        <v>1.639084</v>
      </c>
      <c r="N19" s="29">
        <f>(770+1945+402492+18437+1070913+200104)/1000000</f>
        <v>1.694661</v>
      </c>
      <c r="O19" s="29">
        <f>0.015+1.068+0.181+0.005+0.439+0.038</f>
        <v>1.746</v>
      </c>
      <c r="P19" s="29">
        <v>1.6459999999999999</v>
      </c>
      <c r="Q19" s="42"/>
      <c r="R19" s="39">
        <f>(6529+9727+630994+741688+2208+3174+174171+213369)/1000000</f>
        <v>1.78186</v>
      </c>
      <c r="S19" s="39">
        <v>1.8440000000000001</v>
      </c>
      <c r="T19" s="39">
        <v>1.88</v>
      </c>
      <c r="U19" s="39">
        <v>2.0720000000000001</v>
      </c>
      <c r="V19" s="39">
        <v>2.3849299999999998</v>
      </c>
      <c r="W19" s="39">
        <v>2.6</v>
      </c>
      <c r="X19" s="42"/>
      <c r="Y19" s="39">
        <v>2.48</v>
      </c>
      <c r="Z19" s="39">
        <v>2.722</v>
      </c>
      <c r="AA19" s="13"/>
      <c r="AB19" s="23">
        <f t="shared" ref="AB19:AO21" si="11">100*(C19-B19)/B19</f>
        <v>13.695175891560451</v>
      </c>
      <c r="AC19" s="23">
        <f t="shared" si="11"/>
        <v>3.0481856540084258</v>
      </c>
      <c r="AD19" s="23">
        <f t="shared" si="11"/>
        <v>13.602665092157139</v>
      </c>
      <c r="AE19" s="37">
        <f t="shared" si="11"/>
        <v>-1.0973698589847642</v>
      </c>
      <c r="AF19" s="37">
        <f t="shared" si="11"/>
        <v>-5.6986755859863338</v>
      </c>
      <c r="AG19" s="37">
        <f t="shared" si="11"/>
        <v>9.2006829404776589</v>
      </c>
      <c r="AH19" s="37">
        <f t="shared" si="11"/>
        <v>-6.7138429437657168</v>
      </c>
      <c r="AI19" s="37">
        <f t="shared" si="11"/>
        <v>11.772003034901379</v>
      </c>
      <c r="AJ19" s="37">
        <f t="shared" si="11"/>
        <v>1.0234496709443341</v>
      </c>
      <c r="AK19" s="37">
        <f t="shared" si="11"/>
        <v>7.8431991786226849</v>
      </c>
      <c r="AL19" s="37">
        <f t="shared" si="11"/>
        <v>2.1263498025180749</v>
      </c>
      <c r="AM19" s="37">
        <f t="shared" si="11"/>
        <v>3.3907353131383129</v>
      </c>
      <c r="AN19" s="37">
        <f t="shared" si="11"/>
        <v>3.0294554486118477</v>
      </c>
      <c r="AO19" s="37">
        <f t="shared" si="11"/>
        <v>-5.7273768613974854</v>
      </c>
      <c r="AP19" s="50">
        <f>100*(R19-P19)/P19</f>
        <v>8.2539489671932014</v>
      </c>
      <c r="AQ19" s="50">
        <f t="shared" si="5"/>
        <v>3.4873671332203475</v>
      </c>
      <c r="AR19" s="50">
        <f t="shared" ref="AR19:AU22" si="12">100*(T19-S19)/S19</f>
        <v>1.9522776572668008</v>
      </c>
      <c r="AS19" s="50">
        <f t="shared" si="12"/>
        <v>10.212765957446818</v>
      </c>
      <c r="AT19" s="50">
        <f t="shared" si="12"/>
        <v>15.102799227799213</v>
      </c>
      <c r="AU19" s="50">
        <f t="shared" si="12"/>
        <v>9.0178747384619395</v>
      </c>
    </row>
    <row r="20" spans="1:47" ht="15" customHeight="1" x14ac:dyDescent="0.3">
      <c r="A20" s="28" t="s">
        <v>16</v>
      </c>
      <c r="B20" s="29">
        <f>(1.165+0.001+0.003+0.002)/5.94573</f>
        <v>0.19694806188642938</v>
      </c>
      <c r="C20" s="29">
        <f>0.163+0.001+0.004</f>
        <v>0.16800000000000001</v>
      </c>
      <c r="D20" s="29">
        <f>(140780+5062+1934+1)/1000000</f>
        <v>0.14777699999999999</v>
      </c>
      <c r="E20" s="29">
        <f>(1126+3121+4663+169912)/1000000</f>
        <v>0.17882200000000001</v>
      </c>
      <c r="F20" s="29">
        <f>(158754+6674+4754+13)/1000000</f>
        <v>0.17019500000000001</v>
      </c>
      <c r="G20" s="29">
        <f>(7355+132587+441+71+75)/1000000</f>
        <v>0.14052899999999999</v>
      </c>
      <c r="H20" s="29">
        <f>(2.147+7.264+169.96)/1000</f>
        <v>0.179371</v>
      </c>
      <c r="I20" s="29">
        <f>0.001+0.266+0.009</f>
        <v>0.27600000000000002</v>
      </c>
      <c r="J20" s="29">
        <f>(3298+8+3365+221565)/1000000</f>
        <v>0.22823599999999999</v>
      </c>
      <c r="K20" s="29">
        <f>(1699+252+206070+5229)/1000000</f>
        <v>0.21325</v>
      </c>
      <c r="L20" s="29">
        <f>(184083+14203+145508+82)/1000000</f>
        <v>0.34387600000000001</v>
      </c>
      <c r="M20" s="29">
        <f>(2+2758+267460+3664)/1000000</f>
        <v>0.27388400000000002</v>
      </c>
      <c r="N20" s="29">
        <f>(2553+281+3772+264082)/1000000</f>
        <v>0.27068799999999998</v>
      </c>
      <c r="O20" s="29">
        <f>(4331+232113+19285)/1000000</f>
        <v>0.25572899999999998</v>
      </c>
      <c r="P20" s="29">
        <v>0.38200000000000001</v>
      </c>
      <c r="Q20" s="42"/>
      <c r="R20" s="39">
        <f>(166488+80879+7269+344)/1000000</f>
        <v>0.25497999999999998</v>
      </c>
      <c r="S20" s="39">
        <v>0.29499999999999998</v>
      </c>
      <c r="T20" s="39">
        <v>0.29799999999999999</v>
      </c>
      <c r="U20" s="39">
        <v>0.27800000000000002</v>
      </c>
      <c r="V20" s="39">
        <v>0.317747</v>
      </c>
      <c r="W20" s="39">
        <v>0.308</v>
      </c>
      <c r="X20" s="42"/>
      <c r="Y20" s="39">
        <v>0.24</v>
      </c>
      <c r="Z20" s="39">
        <v>0.252</v>
      </c>
      <c r="AA20" s="13"/>
      <c r="AB20" s="23">
        <f t="shared" si="11"/>
        <v>-14.698322801024744</v>
      </c>
      <c r="AC20" s="23">
        <f t="shared" si="11"/>
        <v>-12.03750000000001</v>
      </c>
      <c r="AD20" s="23">
        <f t="shared" si="11"/>
        <v>21.008005305291093</v>
      </c>
      <c r="AE20" s="37">
        <f t="shared" si="11"/>
        <v>-4.8243504714185033</v>
      </c>
      <c r="AF20" s="37">
        <f t="shared" si="11"/>
        <v>-17.430594318281983</v>
      </c>
      <c r="AG20" s="37">
        <f t="shared" si="11"/>
        <v>27.639846579709541</v>
      </c>
      <c r="AH20" s="37">
        <f t="shared" si="11"/>
        <v>53.87102708910583</v>
      </c>
      <c r="AI20" s="37">
        <f t="shared" si="11"/>
        <v>-17.305797101449283</v>
      </c>
      <c r="AJ20" s="37">
        <f t="shared" si="11"/>
        <v>-6.5660106205857094</v>
      </c>
      <c r="AK20" s="37">
        <f t="shared" si="11"/>
        <v>61.254865181711615</v>
      </c>
      <c r="AL20" s="37">
        <f t="shared" si="11"/>
        <v>-20.353848480266141</v>
      </c>
      <c r="AM20" s="37">
        <f t="shared" si="11"/>
        <v>-1.1669173810810534</v>
      </c>
      <c r="AN20" s="37">
        <f t="shared" si="11"/>
        <v>-5.5262885683886989</v>
      </c>
      <c r="AO20" s="37">
        <f t="shared" si="11"/>
        <v>49.37687943096013</v>
      </c>
      <c r="AP20" s="50">
        <f>100*(R20-P20)/P20</f>
        <v>-33.251308900523561</v>
      </c>
      <c r="AQ20" s="50">
        <f t="shared" si="5"/>
        <v>15.695348654796454</v>
      </c>
      <c r="AR20" s="50">
        <f t="shared" si="12"/>
        <v>1.0169491525423739</v>
      </c>
      <c r="AS20" s="50">
        <f t="shared" si="12"/>
        <v>-6.711409395973142</v>
      </c>
      <c r="AT20" s="50">
        <f t="shared" si="12"/>
        <v>14.29748201438848</v>
      </c>
      <c r="AU20" s="50">
        <f t="shared" si="12"/>
        <v>-3.0675348626422925</v>
      </c>
    </row>
    <row r="21" spans="1:47" ht="15" customHeight="1" x14ac:dyDescent="0.3">
      <c r="A21" s="28" t="s">
        <v>17</v>
      </c>
      <c r="B21" s="29">
        <f>(3.654+0.982+0.119+0.02)/5.94573</f>
        <v>0.80309734885371509</v>
      </c>
      <c r="C21" s="29">
        <f>0.687+0.018+0.153+0.004</f>
        <v>0.8620000000000001</v>
      </c>
      <c r="D21" s="29">
        <f>(638113+207570+24492+4370)/1000000</f>
        <v>0.87454500000000002</v>
      </c>
      <c r="E21" s="29">
        <f>(25479+4852+642854+208646)/1000000</f>
        <v>0.88183100000000003</v>
      </c>
      <c r="F21" s="29">
        <f>(660777+193834+22555+3243)/1000000</f>
        <v>0.880409</v>
      </c>
      <c r="G21" s="29">
        <f>(645086+223748+29981+44+48+265+2011+37)/1000000</f>
        <v>0.90122000000000002</v>
      </c>
      <c r="H21" s="29">
        <f>(50.317+688.962+1.358+220.616)/1000</f>
        <v>0.96125299999999991</v>
      </c>
      <c r="I21" s="29">
        <f>0.849+0.214+0.044+0.006</f>
        <v>1.113</v>
      </c>
      <c r="J21" s="29">
        <f>(328627+1044014+2709+24365)/1000000</f>
        <v>1.399715</v>
      </c>
      <c r="K21" s="29">
        <f>(39759+2600+984300+321899)/1000000</f>
        <v>1.3485579999999999</v>
      </c>
      <c r="L21" s="29">
        <f>(854947+207545+1382392+2010-493037)/1000000</f>
        <v>1.953857</v>
      </c>
      <c r="M21" s="29">
        <f>(95449+3313+912990+259368)/1000000</f>
        <v>1.27112</v>
      </c>
      <c r="N21" s="29">
        <f>(98067+1452+212625+999165)/1000000</f>
        <v>1.3113090000000001</v>
      </c>
      <c r="O21" s="29">
        <f>(120650+6627+959241+233831)/1000000</f>
        <v>1.320349</v>
      </c>
      <c r="P21" s="29">
        <v>1.2410000000000001</v>
      </c>
      <c r="Q21" s="42"/>
      <c r="R21" s="39">
        <f>(1221050+145390)/1000000</f>
        <v>1.3664400000000001</v>
      </c>
      <c r="S21" s="39">
        <v>1.323</v>
      </c>
      <c r="T21" s="39">
        <v>1.42</v>
      </c>
      <c r="U21" s="39">
        <v>1.6379999999999999</v>
      </c>
      <c r="V21" s="39">
        <v>1.7481820000000001</v>
      </c>
      <c r="W21" s="39">
        <v>1.73081</v>
      </c>
      <c r="X21" s="42"/>
      <c r="Y21" s="39">
        <v>1.62</v>
      </c>
      <c r="Z21" s="39">
        <v>1.66</v>
      </c>
      <c r="AA21" s="13"/>
      <c r="AB21" s="23">
        <f t="shared" si="11"/>
        <v>7.3344347643979324</v>
      </c>
      <c r="AC21" s="23">
        <f t="shared" si="11"/>
        <v>1.4553364269141433</v>
      </c>
      <c r="AD21" s="23">
        <f t="shared" si="11"/>
        <v>0.83311893613250487</v>
      </c>
      <c r="AE21" s="37">
        <f t="shared" si="11"/>
        <v>-0.1612553879371483</v>
      </c>
      <c r="AF21" s="37">
        <f t="shared" si="11"/>
        <v>2.3637877395619564</v>
      </c>
      <c r="AG21" s="37">
        <f t="shared" si="11"/>
        <v>6.6613035662768123</v>
      </c>
      <c r="AH21" s="37">
        <f t="shared" si="11"/>
        <v>15.786374658908747</v>
      </c>
      <c r="AI21" s="37">
        <f t="shared" si="11"/>
        <v>25.760557053009887</v>
      </c>
      <c r="AJ21" s="37">
        <f t="shared" si="11"/>
        <v>-3.6548154445726535</v>
      </c>
      <c r="AK21" s="37">
        <f t="shared" si="11"/>
        <v>44.884906692926819</v>
      </c>
      <c r="AL21" s="37">
        <f t="shared" si="11"/>
        <v>-34.943038308330649</v>
      </c>
      <c r="AM21" s="37">
        <f t="shared" si="11"/>
        <v>3.1616999181823928</v>
      </c>
      <c r="AN21" s="37">
        <f t="shared" si="11"/>
        <v>0.68938747465318517</v>
      </c>
      <c r="AO21" s="37">
        <f t="shared" si="11"/>
        <v>-6.009698950807695</v>
      </c>
      <c r="AP21" s="50">
        <f>100*(R21-P21)/P21</f>
        <v>10.107977437550362</v>
      </c>
      <c r="AQ21" s="50">
        <f t="shared" si="5"/>
        <v>-3.1790638447352348</v>
      </c>
      <c r="AR21" s="50">
        <f t="shared" si="12"/>
        <v>7.3318216175359012</v>
      </c>
      <c r="AS21" s="50">
        <f t="shared" si="12"/>
        <v>15.352112676056336</v>
      </c>
      <c r="AT21" s="50">
        <f t="shared" si="12"/>
        <v>6.72661782661784</v>
      </c>
      <c r="AU21" s="50">
        <f t="shared" si="12"/>
        <v>-0.99371804537514763</v>
      </c>
    </row>
    <row r="22" spans="1:47" ht="15" customHeight="1" x14ac:dyDescent="0.3">
      <c r="A22" s="28" t="s">
        <v>0</v>
      </c>
      <c r="B22" s="29">
        <f>(0.191+0.791+0.061+0.282+0.003+0.686+0.023+0.631+0.001+0.025+0.056)/5.94573</f>
        <v>0.46251679776915533</v>
      </c>
      <c r="C22" s="29">
        <f>0.026+0.172+0.004+0.066+0.085+0.003+0.003+0.004+0.111</f>
        <v>0.47400000000000003</v>
      </c>
      <c r="D22" s="29">
        <f>(35699+168440+19658+50470+990+76238+3144+116010+86+2026+2+5365)/1000000</f>
        <v>0.478128</v>
      </c>
      <c r="E22" s="29">
        <f>(3927+133380+68+3347+2+6697+27021+173004+2997+35585+880+108964)/1000000</f>
        <v>0.49587199999999998</v>
      </c>
      <c r="F22" s="29">
        <f>(24559+159717+4138+75205+730+175622+4888+129932+380+6759+16+5018)/1000000</f>
        <v>0.58696400000000004</v>
      </c>
      <c r="G22" s="29">
        <f>(4533+140817+132+6078+1139+1878+7+174+295+1478+6+337+1395+583+74+132+472+300+51+701+727+286+30175+142814+2691+64487+722+267945)/1000000</f>
        <v>0.67042900000000005</v>
      </c>
      <c r="H22" s="29">
        <f>(78.105+279.811+24.167+7.524+30.561+117.719+4.852+6.512+2.981+5.843+116.58+0.185+13.863+17.045)/1000</f>
        <v>0.70574799999999971</v>
      </c>
      <c r="I22" s="29">
        <f>0.008+0.003+0.006+0.137+0.001+0.017+0.003+0.026+0.005+0.025+0.107+0.007+0.043+0.001+0.359</f>
        <v>0.748</v>
      </c>
      <c r="J22" s="29">
        <f>(6798+2567+8163+111507+1157+23639+5503+26520+105536+19048+54726+1114+358726+11422+12823)/1000000</f>
        <v>0.74924900000000005</v>
      </c>
      <c r="K22" s="29">
        <f>(5011+7766+6318+96052+2961+28788+5+5643+24888+8813+20559+109252+12855+52037+445+249506)/1000000</f>
        <v>0.63089899999999999</v>
      </c>
      <c r="L22" s="29">
        <f>(20954+5623+24952+113569+3313+66853+720+288014+5657+2214+8537+112979+912+23487+4+20478)/1000000</f>
        <v>0.69826600000000005</v>
      </c>
      <c r="M22" s="29">
        <f>(3660+2436+7172+123704+854+24152+62+15000+21073+7617+25826+123141+5792+63480+858+353492)/1000000</f>
        <v>0.77831899999999998</v>
      </c>
      <c r="N22" s="29">
        <f>(4614+1398+9904+144532+597+22052+38+22006+22151+12299+25611+117026+3796+78994+828+279643)/1000000</f>
        <v>0.74548899999999996</v>
      </c>
      <c r="O22" s="29">
        <f>(4376+1096+7442+135690+4228+44456+22+27516+21007+9550+26391+107434+6694+53749+674+307836)/1000000</f>
        <v>0.75816099999999997</v>
      </c>
      <c r="P22" s="29">
        <v>0.68500000000000005</v>
      </c>
      <c r="Q22" s="42"/>
      <c r="R22" s="39">
        <f>(50010+4035+1451+8833+150198+2738+26518+8405+100201+114391+7344+41264)/1000000</f>
        <v>0.51538799999999996</v>
      </c>
      <c r="S22" s="39">
        <f>0.604</f>
        <v>0.60399999999999998</v>
      </c>
      <c r="T22" s="39">
        <v>0.53</v>
      </c>
      <c r="U22" s="39">
        <v>0.86</v>
      </c>
      <c r="V22" s="39">
        <v>0.96340400000000059</v>
      </c>
      <c r="W22" s="39">
        <f>W17-W19-W20-W21</f>
        <v>1.1441709999999996</v>
      </c>
      <c r="X22" s="42"/>
      <c r="Y22" s="39">
        <f t="shared" ref="Y22:AF22" si="13">Y17-Y19-Y20-Y21</f>
        <v>0.99000000000000021</v>
      </c>
      <c r="Z22" s="39">
        <f t="shared" si="13"/>
        <v>1.1259999999999997</v>
      </c>
      <c r="AA22" s="13"/>
      <c r="AB22" s="57">
        <f t="shared" si="13"/>
        <v>1.0216159925114754</v>
      </c>
      <c r="AC22" s="57">
        <f t="shared" si="13"/>
        <v>8.745246048493577</v>
      </c>
      <c r="AD22" s="57">
        <f t="shared" si="13"/>
        <v>-27.280122098737319</v>
      </c>
      <c r="AE22" s="57">
        <f t="shared" si="13"/>
        <v>8.3188985256702477</v>
      </c>
      <c r="AF22" s="57">
        <f t="shared" si="13"/>
        <v>20.646661243053398</v>
      </c>
      <c r="AG22" s="37">
        <f t="shared" ref="AG22:AO22" si="14">100*(H22-G22)/G22</f>
        <v>5.2681193683446947</v>
      </c>
      <c r="AH22" s="37">
        <f t="shared" si="14"/>
        <v>5.9868394951172812</v>
      </c>
      <c r="AI22" s="37">
        <f t="shared" si="14"/>
        <v>0.16697860962567587</v>
      </c>
      <c r="AJ22" s="37">
        <f t="shared" si="14"/>
        <v>-15.795816877967145</v>
      </c>
      <c r="AK22" s="37">
        <f t="shared" si="14"/>
        <v>10.677937356058587</v>
      </c>
      <c r="AL22" s="37">
        <f t="shared" si="14"/>
        <v>11.464542165879468</v>
      </c>
      <c r="AM22" s="37">
        <f t="shared" si="14"/>
        <v>-4.2180648294593892</v>
      </c>
      <c r="AN22" s="37">
        <f t="shared" si="14"/>
        <v>1.6998238739941189</v>
      </c>
      <c r="AO22" s="37">
        <f t="shared" si="14"/>
        <v>-9.6497973385600044</v>
      </c>
      <c r="AP22" s="50">
        <f>100*(R22-P22)/P22</f>
        <v>-24.760875912408771</v>
      </c>
      <c r="AQ22" s="50">
        <f t="shared" si="5"/>
        <v>17.193260223365701</v>
      </c>
      <c r="AR22" s="50">
        <f t="shared" si="12"/>
        <v>-12.251655629139066</v>
      </c>
      <c r="AS22" s="50">
        <f t="shared" si="12"/>
        <v>62.26415094339621</v>
      </c>
      <c r="AT22" s="50">
        <f t="shared" si="12"/>
        <v>12.02372093023263</v>
      </c>
      <c r="AU22" s="50">
        <f t="shared" si="12"/>
        <v>18.763364071562805</v>
      </c>
    </row>
    <row r="23" spans="1:47" ht="13.5" customHeight="1" x14ac:dyDescent="0.3">
      <c r="A23" s="2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42"/>
      <c r="R23" s="39"/>
      <c r="S23" s="39"/>
      <c r="T23" s="39"/>
      <c r="U23" s="39"/>
      <c r="V23" s="39"/>
      <c r="W23" s="39"/>
      <c r="X23" s="42"/>
      <c r="Y23" s="39"/>
      <c r="Z23" s="39"/>
      <c r="AA23" s="12"/>
      <c r="AB23" s="24"/>
      <c r="AC23" s="23"/>
      <c r="AD23" s="23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50"/>
      <c r="AQ23" s="50"/>
      <c r="AR23" s="50"/>
      <c r="AS23" s="50"/>
      <c r="AT23" s="50"/>
      <c r="AU23" s="50"/>
    </row>
    <row r="24" spans="1:47" ht="15" customHeight="1" x14ac:dyDescent="0.3">
      <c r="A24" s="28" t="s">
        <v>1</v>
      </c>
      <c r="B24" s="29">
        <f t="shared" ref="B24:P24" si="15">B11+B17</f>
        <v>8.5048227887912837</v>
      </c>
      <c r="C24" s="29">
        <f t="shared" si="15"/>
        <v>9.298</v>
      </c>
      <c r="D24" s="29">
        <f t="shared" si="15"/>
        <v>9.7393210000000003</v>
      </c>
      <c r="E24" s="29">
        <f t="shared" si="15"/>
        <v>10.356361</v>
      </c>
      <c r="F24" s="29">
        <f t="shared" si="15"/>
        <v>10.934571000000002</v>
      </c>
      <c r="G24" s="29">
        <f t="shared" si="15"/>
        <v>11.383995000000001</v>
      </c>
      <c r="H24" s="29">
        <f t="shared" si="15"/>
        <v>12.249228999999998</v>
      </c>
      <c r="I24" s="29">
        <f t="shared" si="15"/>
        <v>13.08</v>
      </c>
      <c r="J24" s="29">
        <f t="shared" si="15"/>
        <v>14.653802000000002</v>
      </c>
      <c r="K24" s="29">
        <f t="shared" si="15"/>
        <v>15.181939</v>
      </c>
      <c r="L24" s="29">
        <f t="shared" si="15"/>
        <v>16.967956000000001</v>
      </c>
      <c r="M24" s="29">
        <f t="shared" si="15"/>
        <v>17.360407000000002</v>
      </c>
      <c r="N24" s="29">
        <f t="shared" si="15"/>
        <v>18.177146999999998</v>
      </c>
      <c r="O24" s="29">
        <f t="shared" si="15"/>
        <v>18.747539000000003</v>
      </c>
      <c r="P24" s="29">
        <f t="shared" si="15"/>
        <v>18.690999999999999</v>
      </c>
      <c r="Q24" s="42"/>
      <c r="R24" s="39">
        <f t="shared" ref="R24:Z24" si="16">R11+R17</f>
        <v>17.379667999999999</v>
      </c>
      <c r="S24" s="39">
        <f t="shared" si="16"/>
        <v>17.849</v>
      </c>
      <c r="T24" s="39">
        <f t="shared" si="16"/>
        <v>18.57</v>
      </c>
      <c r="U24" s="39">
        <f t="shared" si="16"/>
        <v>19.93</v>
      </c>
      <c r="V24" s="39">
        <f t="shared" si="16"/>
        <v>21.296812000000003</v>
      </c>
      <c r="W24" s="39">
        <f t="shared" si="16"/>
        <v>21.912606</v>
      </c>
      <c r="X24" s="42"/>
      <c r="Y24" s="39">
        <f t="shared" si="16"/>
        <v>23.389466999999996</v>
      </c>
      <c r="Z24" s="39">
        <f t="shared" si="16"/>
        <v>25.96</v>
      </c>
      <c r="AA24" s="39"/>
      <c r="AB24" s="23">
        <f t="shared" ref="AB24:AO24" si="17">100*(C24-B24)/B24</f>
        <v>9.3262050357364785</v>
      </c>
      <c r="AC24" s="23">
        <f t="shared" si="17"/>
        <v>4.7464078296407859</v>
      </c>
      <c r="AD24" s="23">
        <f t="shared" si="17"/>
        <v>6.3355546038579007</v>
      </c>
      <c r="AE24" s="37">
        <f t="shared" si="17"/>
        <v>5.5831387105953736</v>
      </c>
      <c r="AF24" s="37">
        <f t="shared" si="17"/>
        <v>4.1101200952465229</v>
      </c>
      <c r="AG24" s="37">
        <f t="shared" si="17"/>
        <v>7.6004425511430505</v>
      </c>
      <c r="AH24" s="37">
        <f t="shared" si="17"/>
        <v>6.7822309469436997</v>
      </c>
      <c r="AI24" s="37">
        <f t="shared" si="17"/>
        <v>12.032125382263015</v>
      </c>
      <c r="AJ24" s="37">
        <f t="shared" si="17"/>
        <v>3.6040953740196389</v>
      </c>
      <c r="AK24" s="37">
        <f t="shared" si="17"/>
        <v>11.764090212719212</v>
      </c>
      <c r="AL24" s="37">
        <f t="shared" si="17"/>
        <v>2.3128949650741739</v>
      </c>
      <c r="AM24" s="37">
        <f t="shared" si="17"/>
        <v>4.7046132040567699</v>
      </c>
      <c r="AN24" s="37">
        <f t="shared" si="17"/>
        <v>3.1379621895559593</v>
      </c>
      <c r="AO24" s="37">
        <f t="shared" si="17"/>
        <v>-0.3015809168339606</v>
      </c>
      <c r="AP24" s="50">
        <f>100*(R24-P24)/P24</f>
        <v>-7.0158471991867755</v>
      </c>
      <c r="AQ24" s="50">
        <f t="shared" si="5"/>
        <v>2.7004658546987286</v>
      </c>
      <c r="AR24" s="50">
        <f>100*(T24-S24)/S24</f>
        <v>4.0394419855454089</v>
      </c>
      <c r="AS24" s="50">
        <f>100*(U24-T24)/T24</f>
        <v>7.3236402800215368</v>
      </c>
      <c r="AT24" s="50">
        <f>100*(V24-U24)/U24</f>
        <v>6.8580632212744757</v>
      </c>
      <c r="AU24" s="50">
        <f>100*(W24-V24)/V24</f>
        <v>2.8914844156017221</v>
      </c>
    </row>
    <row r="25" spans="1:47" ht="9" customHeight="1" x14ac:dyDescent="0.3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42"/>
      <c r="R25" s="39"/>
      <c r="S25" s="39"/>
      <c r="T25" s="39"/>
      <c r="U25" s="39"/>
      <c r="V25" s="39"/>
      <c r="W25" s="39"/>
      <c r="X25" s="42"/>
      <c r="Y25" s="39"/>
      <c r="Z25" s="39"/>
      <c r="AA25" s="11"/>
      <c r="AB25" s="23"/>
      <c r="AC25" s="23"/>
      <c r="AD25" s="23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50"/>
      <c r="AQ25" s="50"/>
      <c r="AR25" s="50"/>
      <c r="AS25" s="50"/>
      <c r="AT25" s="50"/>
      <c r="AU25" s="50"/>
    </row>
    <row r="26" spans="1:47" ht="15.75" customHeight="1" x14ac:dyDescent="0.35">
      <c r="A26" s="28" t="s">
        <v>29</v>
      </c>
      <c r="B26" s="29">
        <v>25.3</v>
      </c>
      <c r="C26" s="29">
        <v>26.96</v>
      </c>
      <c r="D26" s="29">
        <v>27.47</v>
      </c>
      <c r="E26" s="29">
        <v>28.31</v>
      </c>
      <c r="F26" s="29">
        <v>29.638999999999999</v>
      </c>
      <c r="G26" s="29">
        <v>31.105</v>
      </c>
      <c r="H26" s="29">
        <v>32.921999999999997</v>
      </c>
      <c r="I26" s="29">
        <v>34.36</v>
      </c>
      <c r="J26" s="29">
        <v>37.42</v>
      </c>
      <c r="K26" s="29">
        <v>38.429000000000002</v>
      </c>
      <c r="L26" s="29">
        <v>42.561</v>
      </c>
      <c r="M26" s="29">
        <v>42.32</v>
      </c>
      <c r="N26" s="29">
        <v>44.29</v>
      </c>
      <c r="O26" s="29">
        <v>45.807000000000002</v>
      </c>
      <c r="P26" s="39">
        <v>49.71</v>
      </c>
      <c r="Q26" s="42"/>
      <c r="R26" s="39">
        <v>44.1</v>
      </c>
      <c r="S26" s="39">
        <v>44.17</v>
      </c>
      <c r="T26" s="39">
        <v>43.98</v>
      </c>
      <c r="U26" s="39">
        <v>45.33</v>
      </c>
      <c r="V26" s="39">
        <f>47.17+0.14</f>
        <v>47.31</v>
      </c>
      <c r="W26" s="39">
        <f>48.185007+0.229</f>
        <v>48.414006999999998</v>
      </c>
      <c r="X26" s="42"/>
      <c r="Y26" s="39">
        <f>50.42+0.23</f>
        <v>50.65</v>
      </c>
      <c r="Z26" s="39">
        <f>50+2.77</f>
        <v>52.77</v>
      </c>
      <c r="AA26" s="11"/>
      <c r="AB26" s="23">
        <f t="shared" ref="AB26:AO26" si="18">100*(C26-B26)/B26</f>
        <v>6.5612648221343868</v>
      </c>
      <c r="AC26" s="23">
        <f t="shared" si="18"/>
        <v>1.8916913946587464</v>
      </c>
      <c r="AD26" s="23">
        <f t="shared" si="18"/>
        <v>3.0578813250819072</v>
      </c>
      <c r="AE26" s="37">
        <f t="shared" si="18"/>
        <v>4.6944542564464875</v>
      </c>
      <c r="AF26" s="37">
        <f t="shared" si="18"/>
        <v>4.9461857687506363</v>
      </c>
      <c r="AG26" s="37">
        <f t="shared" si="18"/>
        <v>5.8415045812570217</v>
      </c>
      <c r="AH26" s="37">
        <f t="shared" si="18"/>
        <v>4.3678998845756709</v>
      </c>
      <c r="AI26" s="37">
        <f t="shared" si="18"/>
        <v>8.9057043073341156</v>
      </c>
      <c r="AJ26" s="37">
        <f t="shared" si="18"/>
        <v>2.6964190272581514</v>
      </c>
      <c r="AK26" s="37">
        <f t="shared" si="18"/>
        <v>10.752296442790595</v>
      </c>
      <c r="AL26" s="37">
        <f t="shared" si="18"/>
        <v>-0.56624609384177926</v>
      </c>
      <c r="AM26" s="37">
        <f t="shared" si="18"/>
        <v>4.6550094517958387</v>
      </c>
      <c r="AN26" s="37">
        <f t="shared" si="18"/>
        <v>3.4251524046060129</v>
      </c>
      <c r="AO26" s="37">
        <f t="shared" si="18"/>
        <v>8.5205317964503209</v>
      </c>
      <c r="AP26" s="50">
        <f>100*(R26-P26)/P26</f>
        <v>-11.285455642727822</v>
      </c>
      <c r="AQ26" s="50">
        <f t="shared" si="5"/>
        <v>0.15873015873015936</v>
      </c>
      <c r="AR26" s="50">
        <f>100*(T26-S26)/S26</f>
        <v>-0.43015621462532222</v>
      </c>
      <c r="AS26" s="50">
        <f>100*(U26-T26)/T26</f>
        <v>3.0695770804911358</v>
      </c>
      <c r="AT26" s="50">
        <f>100*(V26-U26)/U26</f>
        <v>4.3679682329583143</v>
      </c>
      <c r="AU26" s="50">
        <f>100*(W26-V26)/V26</f>
        <v>2.3335595011625356</v>
      </c>
    </row>
    <row r="27" spans="1:47" ht="14.25" customHeight="1" x14ac:dyDescent="0.3">
      <c r="A27" s="27" t="s">
        <v>5</v>
      </c>
      <c r="B27" s="30">
        <f t="shared" ref="B27:K27" si="19">100*B24/B26</f>
        <v>33.615900350953687</v>
      </c>
      <c r="C27" s="30">
        <f t="shared" si="19"/>
        <v>34.488130563798215</v>
      </c>
      <c r="D27" s="30">
        <f t="shared" si="19"/>
        <v>35.454390243902438</v>
      </c>
      <c r="E27" s="30">
        <f t="shared" si="19"/>
        <v>36.581988696573646</v>
      </c>
      <c r="F27" s="30">
        <f t="shared" si="19"/>
        <v>36.892509868754011</v>
      </c>
      <c r="G27" s="30">
        <f t="shared" si="19"/>
        <v>36.59860151101109</v>
      </c>
      <c r="H27" s="30">
        <f t="shared" si="19"/>
        <v>37.206819148289895</v>
      </c>
      <c r="I27" s="30">
        <f t="shared" si="19"/>
        <v>38.067520372526197</v>
      </c>
      <c r="J27" s="30">
        <f t="shared" si="19"/>
        <v>39.160347407803322</v>
      </c>
      <c r="K27" s="30">
        <f t="shared" si="19"/>
        <v>39.506463868432689</v>
      </c>
      <c r="L27" s="30">
        <f>100*L24/L26</f>
        <v>39.86738093559832</v>
      </c>
      <c r="M27" s="30">
        <f>100*M24/M26</f>
        <v>41.021755671077507</v>
      </c>
      <c r="N27" s="30">
        <f>100*N24/N26</f>
        <v>41.04119891623391</v>
      </c>
      <c r="O27" s="30">
        <f>100*O24/O26</f>
        <v>40.927236011963245</v>
      </c>
      <c r="P27" s="38">
        <f>100*P24/P26</f>
        <v>37.600080466706899</v>
      </c>
      <c r="Q27" s="43"/>
      <c r="R27" s="38">
        <f t="shared" ref="R27:Z27" si="20">100*R24/R26</f>
        <v>39.409678004535145</v>
      </c>
      <c r="S27" s="38">
        <f t="shared" si="20"/>
        <v>40.409780393932536</v>
      </c>
      <c r="T27" s="38">
        <f t="shared" si="20"/>
        <v>42.2237380627558</v>
      </c>
      <c r="U27" s="38">
        <f t="shared" si="20"/>
        <v>43.966468122656082</v>
      </c>
      <c r="V27" s="38">
        <f t="shared" si="20"/>
        <v>45.015455506235476</v>
      </c>
      <c r="W27" s="38">
        <f t="shared" si="20"/>
        <v>45.260880802533038</v>
      </c>
      <c r="X27" s="43"/>
      <c r="Y27" s="38">
        <f t="shared" si="20"/>
        <v>46.178612043435329</v>
      </c>
      <c r="Z27" s="38">
        <f t="shared" si="20"/>
        <v>49.194618154254307</v>
      </c>
      <c r="AA27" s="14"/>
      <c r="AB27" s="16"/>
      <c r="AC27" s="16"/>
      <c r="AD27" s="17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51"/>
      <c r="AQ27" s="8"/>
      <c r="AR27" s="1"/>
    </row>
    <row r="28" spans="1:47" ht="10.5" customHeight="1" x14ac:dyDescent="0.25">
      <c r="A28" s="1"/>
      <c r="B28" s="1"/>
      <c r="C28" s="1"/>
      <c r="D28" s="1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44"/>
      <c r="AQ28" s="2"/>
      <c r="AR28" s="1"/>
    </row>
    <row r="29" spans="1:47" ht="14.25" customHeight="1" x14ac:dyDescent="0.25">
      <c r="A29" s="7" t="s">
        <v>23</v>
      </c>
    </row>
    <row r="30" spans="1:47" ht="14.25" customHeight="1" x14ac:dyDescent="0.25">
      <c r="A30" s="7" t="s">
        <v>24</v>
      </c>
    </row>
    <row r="31" spans="1:47" ht="14.25" customHeight="1" x14ac:dyDescent="0.3">
      <c r="A31" s="31" t="s">
        <v>34</v>
      </c>
    </row>
    <row r="32" spans="1:47" ht="14.25" customHeight="1" x14ac:dyDescent="0.25">
      <c r="A32" s="31" t="s">
        <v>35</v>
      </c>
    </row>
    <row r="33" spans="1:26" ht="14.25" customHeight="1" x14ac:dyDescent="0.25">
      <c r="A33" s="31" t="s">
        <v>37</v>
      </c>
    </row>
    <row r="34" spans="1:26" ht="14.25" customHeight="1" x14ac:dyDescent="0.25">
      <c r="A34" s="7" t="s">
        <v>30</v>
      </c>
    </row>
    <row r="35" spans="1:26" ht="14.25" customHeight="1" x14ac:dyDescent="0.25">
      <c r="A35" s="31" t="s">
        <v>31</v>
      </c>
    </row>
    <row r="36" spans="1:26" x14ac:dyDescent="0.25">
      <c r="A36" s="31" t="s">
        <v>32</v>
      </c>
    </row>
    <row r="38" spans="1:26" x14ac:dyDescent="0.25">
      <c r="V38" s="58"/>
    </row>
    <row r="41" spans="1:26" x14ac:dyDescent="0.25">
      <c r="V41" s="58"/>
      <c r="W41" s="58"/>
      <c r="X41" s="58"/>
      <c r="Y41" s="58"/>
      <c r="Z41" s="58"/>
    </row>
    <row r="43" spans="1:26" x14ac:dyDescent="0.25">
      <c r="W43" s="58"/>
      <c r="X43" s="58"/>
      <c r="Y43" s="58"/>
      <c r="Z43" s="58"/>
    </row>
    <row r="45" spans="1:26" x14ac:dyDescent="0.25">
      <c r="V45" s="58"/>
      <c r="W45" s="58"/>
      <c r="X45" s="58"/>
      <c r="Y45" s="58"/>
      <c r="Z45" s="58"/>
    </row>
  </sheetData>
  <phoneticPr fontId="11" type="noConversion"/>
  <pageMargins left="0.19685039370078741" right="7.874015748031496E-2" top="0.78740157480314965" bottom="0.78740157480314965" header="0.51181102362204722" footer="0.51181102362204722"/>
  <pageSetup paperSize="9" scale="92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taulukko</vt:lpstr>
      <vt:lpstr>taulukko!Tulostusalue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Hottinen Aaro</cp:lastModifiedBy>
  <cp:lastPrinted>2017-11-02T12:11:57Z</cp:lastPrinted>
  <dcterms:created xsi:type="dcterms:W3CDTF">2002-11-06T11:49:59Z</dcterms:created>
  <dcterms:modified xsi:type="dcterms:W3CDTF">2023-03-28T12:16:01Z</dcterms:modified>
</cp:coreProperties>
</file>